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585" tabRatio="770" activeTab="0"/>
  </bookViews>
  <sheets>
    <sheet name="Input &amp; Output" sheetId="1" r:id="rId1"/>
    <sheet name="2-lane analysis, time period 1" sheetId="2" r:id="rId2"/>
    <sheet name="2-lane analysis, time period 2" sheetId="3" r:id="rId3"/>
    <sheet name="2-lane analysis, time period 3" sheetId="4" r:id="rId4"/>
    <sheet name="2-lane analysis, time period 4" sheetId="5" r:id="rId5"/>
  </sheets>
  <definedNames>
    <definedName name="EB">'Input &amp; Output'!$B$11</definedName>
    <definedName name="EBappr">'Input &amp; Output'!$B$11</definedName>
    <definedName name="Entry" localSheetId="0">'Input &amp; Output'!$M$11</definedName>
    <definedName name="Entry">#REF!</definedName>
    <definedName name="NB">'Input &amp; Output'!$B$9</definedName>
    <definedName name="NBappr">'Input &amp; Output'!$B$9</definedName>
    <definedName name="Period1">'Input &amp; Output'!$A$9</definedName>
    <definedName name="Period2">'Input &amp; Output'!$A$15</definedName>
    <definedName name="Period3">'Input &amp; Output'!$A$21</definedName>
    <definedName name="Period4">'Input &amp; Output'!$A$27</definedName>
    <definedName name="_xlnm.Print_Area" localSheetId="1">'2-lane analysis, time period 1'!$A$1:$I$19</definedName>
    <definedName name="_xlnm.Print_Area" localSheetId="2">'2-lane analysis, time period 2'!$A$1:$I$19</definedName>
    <definedName name="_xlnm.Print_Area" localSheetId="3">'2-lane analysis, time period 3'!$A$1:$I$19</definedName>
    <definedName name="_xlnm.Print_Area" localSheetId="4">'2-lane analysis, time period 4'!$A$1:$I$19</definedName>
    <definedName name="_xlnm.Print_Area" localSheetId="0">'Input &amp; Output'!$A$1:$R$72</definedName>
    <definedName name="SB">'Input &amp; Output'!$B$10</definedName>
    <definedName name="SBappr">'Input &amp; Output'!$B$10</definedName>
    <definedName name="WB">'Input &amp; Output'!$B$12</definedName>
    <definedName name="WBappr">'Input &amp; Output'!$B$12</definedName>
    <definedName name="Year1">'Input &amp; Output'!$A$9</definedName>
    <definedName name="Year2">'Input &amp; Output'!$A$15</definedName>
  </definedNames>
  <calcPr fullCalcOnLoad="1"/>
</workbook>
</file>

<file path=xl/sharedStrings.xml><?xml version="1.0" encoding="utf-8"?>
<sst xmlns="http://schemas.openxmlformats.org/spreadsheetml/2006/main" count="368" uniqueCount="100">
  <si>
    <t>Approach</t>
  </si>
  <si>
    <t>Time</t>
  </si>
  <si>
    <t>Left</t>
  </si>
  <si>
    <t>Through</t>
  </si>
  <si>
    <t>Right</t>
  </si>
  <si>
    <t>project name and number</t>
  </si>
  <si>
    <t>intersection</t>
  </si>
  <si>
    <t>NB approach</t>
  </si>
  <si>
    <t>SB approach</t>
  </si>
  <si>
    <t>EB approach</t>
  </si>
  <si>
    <t>WB approach</t>
  </si>
  <si>
    <t>PHF</t>
  </si>
  <si>
    <t>Roundabout volumes</t>
  </si>
  <si>
    <t>Raw turning volumes</t>
  </si>
  <si>
    <t>U-turn</t>
  </si>
  <si>
    <t>Entry volume, veh/hr</t>
  </si>
  <si>
    <t>Critical lane?</t>
  </si>
  <si>
    <t>Assumed non-critical lane capacity, veh/hr</t>
  </si>
  <si>
    <t>v/c ratio</t>
  </si>
  <si>
    <t>Control delay, sec/veh</t>
  </si>
  <si>
    <t>LOS</t>
  </si>
  <si>
    <t>Approach control delay, sec/veh</t>
  </si>
  <si>
    <t>Intersection control delay, sec/veh</t>
  </si>
  <si>
    <t>95th percentile queue, veh</t>
  </si>
  <si>
    <t>NB left lane</t>
  </si>
  <si>
    <t>NB right lane</t>
  </si>
  <si>
    <t>SB left lane</t>
  </si>
  <si>
    <t>SB right lane</t>
  </si>
  <si>
    <t>EB left lane</t>
  </si>
  <si>
    <t>EB right lane</t>
  </si>
  <si>
    <t>WB left lane</t>
  </si>
  <si>
    <t>WB right lane</t>
  </si>
  <si>
    <t>Critical lane capacity, veh/hr (Eq 17-74)</t>
  </si>
  <si>
    <t>Turning volumes, veh/hr</t>
  </si>
  <si>
    <t>Lane use</t>
  </si>
  <si>
    <t>1. If the entry has only one lane, the turning movement flows are combined to determine the</t>
  </si>
  <si>
    <t>entry flow.</t>
  </si>
  <si>
    <t>2. If only one lane is available for left-turning vehicles, 100% of the left-turn traffic is</t>
  </si>
  <si>
    <t>assigned to that lane.</t>
  </si>
  <si>
    <t>3. If only one lane is available for right-turning vehicles, 100% of the right-turn traffic is</t>
  </si>
  <si>
    <t>4. The remaining traffic is assumed to be distributed equally across all lanes such that the</t>
  </si>
  <si>
    <t>other entry lanes, the flows that are expected to use the right-turn bypass lane are</t>
  </si>
  <si>
    <t>removed from the calculation of the roundabout entry flows.</t>
  </si>
  <si>
    <t>flow in each lane is equal.</t>
  </si>
  <si>
    <t>Thru</t>
  </si>
  <si>
    <t>LT</t>
  </si>
  <si>
    <t>TR</t>
  </si>
  <si>
    <t>5. If a right-turn bypass lane is provided that does not share the same entrance lane with the</t>
  </si>
  <si>
    <t>Reserve capacity</t>
  </si>
  <si>
    <t>Turns only</t>
  </si>
  <si>
    <t>Distribute excess throughs</t>
  </si>
  <si>
    <t>Lane volume</t>
  </si>
  <si>
    <t>Reserve capacity used</t>
  </si>
  <si>
    <t>NB</t>
  </si>
  <si>
    <t>SB</t>
  </si>
  <si>
    <t>EB</t>
  </si>
  <si>
    <t>WB</t>
  </si>
  <si>
    <t>Excess throughs (through volume minus reserve)</t>
  </si>
  <si>
    <t>Circ</t>
  </si>
  <si>
    <t>&lt;= assign u-turns and left turns to left lane and right turns to right lane</t>
  </si>
  <si>
    <t>&lt;= through vehicles will fill lower volume lane first until equilibrium is reached</t>
  </si>
  <si>
    <t>&lt;= through volume remaining after equilibrium has been reached</t>
  </si>
  <si>
    <t>&lt;= excess through volume is distributed evenly between the two lanes</t>
  </si>
  <si>
    <t>* For information only; volume is not used in computations.</t>
  </si>
  <si>
    <t>Determination of lane volumes for 2-lane analysis</t>
  </si>
  <si>
    <t>6. The critical lane is the lane on the approach with the higher flow rate.</t>
  </si>
  <si>
    <t>&lt;= default lane use for two lane approaches; other lane use combinations will require hand computation of volumes (for now…)</t>
  </si>
  <si>
    <t>Single lane roundabout</t>
  </si>
  <si>
    <t>Double lane roundabout</t>
  </si>
  <si>
    <t>v/c</t>
  </si>
  <si>
    <t>Adjusted turning volumes</t>
  </si>
  <si>
    <r>
      <t>Intersection</t>
    </r>
    <r>
      <rPr>
        <vertAlign val="superscript"/>
        <sz val="10"/>
        <rFont val="Arial"/>
        <family val="2"/>
      </rPr>
      <t>5</t>
    </r>
  </si>
  <si>
    <t>Notes</t>
  </si>
  <si>
    <t>5. Weighted average of approach volume and delay; for comparison only</t>
  </si>
  <si>
    <t>&lt;= difference between left turn and right turn volumes</t>
  </si>
  <si>
    <t>NCHRP 572 Roundabout Analysis</t>
  </si>
  <si>
    <t>&lt;= these volumes are echoed from "Input &amp; Output" worksheet</t>
  </si>
  <si>
    <t>yr1 AM</t>
  </si>
  <si>
    <t>yr1 PM</t>
  </si>
  <si>
    <t>yr2 AM</t>
  </si>
  <si>
    <t>yr2 PM</t>
  </si>
  <si>
    <t>NCHRP 572 2-Lane Roundabout Analysis Worksheet</t>
  </si>
  <si>
    <t>&lt;= this volume is used in the capacity worksheet above</t>
  </si>
  <si>
    <t>Worksheet for computing lane volumes</t>
  </si>
  <si>
    <t>1. NCHRP 572, Eq. 4-3</t>
  </si>
  <si>
    <t>6. NCHRP 572, Eq. 4-4</t>
  </si>
  <si>
    <t>3. HCM 2000, Exhibit 17-2</t>
  </si>
  <si>
    <t>4. HCM 2000, Equation 17-37</t>
  </si>
  <si>
    <t>2. HCM 2000, Equation 17-38 (recommend adding 5 sec/veh delay in saturated conditions)</t>
  </si>
  <si>
    <t>Critical Lane v/c</t>
  </si>
  <si>
    <t>Enter</t>
  </si>
  <si>
    <t>Exit*</t>
  </si>
  <si>
    <r>
      <t>Capacity (veh/hr)</t>
    </r>
    <r>
      <rPr>
        <b/>
        <vertAlign val="superscript"/>
        <sz val="10"/>
        <rFont val="Arial"/>
        <family val="2"/>
      </rPr>
      <t>1</t>
    </r>
  </si>
  <si>
    <r>
      <t>Control Delay (sec)</t>
    </r>
    <r>
      <rPr>
        <b/>
        <vertAlign val="superscript"/>
        <sz val="10"/>
        <rFont val="Arial"/>
        <family val="2"/>
      </rPr>
      <t>2</t>
    </r>
  </si>
  <si>
    <r>
      <t>LOS</t>
    </r>
    <r>
      <rPr>
        <b/>
        <vertAlign val="superscript"/>
        <sz val="10"/>
        <rFont val="Arial"/>
        <family val="2"/>
      </rPr>
      <t>3</t>
    </r>
  </si>
  <si>
    <r>
      <t>95th Percentile Queue (veh)</t>
    </r>
    <r>
      <rPr>
        <b/>
        <vertAlign val="superscript"/>
        <sz val="10"/>
        <rFont val="Arial"/>
        <family val="2"/>
      </rPr>
      <t>4</t>
    </r>
  </si>
  <si>
    <r>
      <t>Critical Lane Capacity (veh/hr)</t>
    </r>
    <r>
      <rPr>
        <b/>
        <vertAlign val="superscript"/>
        <sz val="10"/>
        <rFont val="Arial"/>
        <family val="2"/>
      </rPr>
      <t>6</t>
    </r>
  </si>
  <si>
    <t>Input Worksheet</t>
  </si>
  <si>
    <t>Output Worksheet</t>
  </si>
  <si>
    <t>Source: NCHRP 572 Appendix M, p. M-20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</si>
</sst>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\-mmm\-yyyy"/>
    <numFmt numFmtId="166" formatCode="&quot;Roundabout volume (PHF=&quot;@&quot;)&quot;"/>
    <numFmt numFmtId="167" formatCode="&quot;Roundabout volume&quot;\ \(&quot;PHF=&quot;@\)"/>
    <numFmt numFmtId="168" formatCode="&quot;Roundabout volume&quot;\ @"/>
    <numFmt numFmtId="169" formatCode="&quot;Roundabout volume (PHF=&quot;\ @&quot;)&quot;"/>
    <numFmt numFmtId="170" formatCode="#.##"/>
    <numFmt numFmtId="171" formatCode="&quot;Adjusted turning mvmts (PHF=&quot;\ @&quot;)&quot;"/>
    <numFmt numFmtId="172" formatCode="&quot;Adjusted turning vol (PHF=&quot;\ @&quot;)&quot;"/>
    <numFmt numFmtId="173" formatCode="&quot;Adj turning vol (PHF=&quot;\ @&quot;)&quot;"/>
    <numFmt numFmtId="174" formatCode="&quot;Adj turning volumes (PHF=&quot;\ @&quot;)&quot;"/>
    <numFmt numFmtId="175" formatCode="0.0000"/>
  </numFmts>
  <fonts count="10">
    <font>
      <sz val="10"/>
      <name val="Arial"/>
      <family val="0"/>
    </font>
    <font>
      <sz val="14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/>
    </xf>
    <xf numFmtId="1" fontId="0" fillId="0" borderId="6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2" borderId="11" xfId="0" applyNumberFormat="1" applyFill="1" applyBorder="1" applyAlignment="1">
      <alignment/>
    </xf>
    <xf numFmtId="1" fontId="0" fillId="2" borderId="1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2" borderId="13" xfId="0" applyNumberFormat="1" applyFill="1" applyBorder="1" applyAlignment="1">
      <alignment/>
    </xf>
    <xf numFmtId="1" fontId="0" fillId="2" borderId="1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0" fontId="3" fillId="3" borderId="19" xfId="0" applyFont="1" applyFill="1" applyBorder="1" applyAlignment="1">
      <alignment horizontal="center" wrapText="1"/>
    </xf>
    <xf numFmtId="1" fontId="0" fillId="3" borderId="20" xfId="0" applyNumberFormat="1" applyFill="1" applyBorder="1" applyAlignment="1">
      <alignment horizontal="center" vertical="center"/>
    </xf>
    <xf numFmtId="1" fontId="0" fillId="3" borderId="21" xfId="0" applyNumberForma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wrapText="1"/>
    </xf>
    <xf numFmtId="1" fontId="0" fillId="3" borderId="23" xfId="0" applyNumberFormat="1" applyFill="1" applyBorder="1" applyAlignment="1">
      <alignment horizontal="center"/>
    </xf>
    <xf numFmtId="1" fontId="0" fillId="3" borderId="24" xfId="0" applyNumberFormat="1" applyFill="1" applyBorder="1" applyAlignment="1">
      <alignment horizontal="center"/>
    </xf>
    <xf numFmtId="0" fontId="3" fillId="3" borderId="18" xfId="0" applyFont="1" applyFill="1" applyBorder="1" applyAlignment="1">
      <alignment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3" fillId="3" borderId="19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1" fontId="0" fillId="0" borderId="27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2" fontId="0" fillId="0" borderId="27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3" borderId="14" xfId="0" applyFill="1" applyBorder="1" applyAlignment="1">
      <alignment horizontal="center" vertical="center" wrapText="1"/>
    </xf>
    <xf numFmtId="1" fontId="0" fillId="3" borderId="14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 vertical="center" wrapText="1"/>
    </xf>
    <xf numFmtId="1" fontId="0" fillId="3" borderId="28" xfId="0" applyNumberFormat="1" applyFill="1" applyBorder="1" applyAlignment="1">
      <alignment horizontal="center"/>
    </xf>
    <xf numFmtId="1" fontId="0" fillId="3" borderId="28" xfId="0" applyNumberFormat="1" applyFill="1" applyBorder="1" applyAlignment="1">
      <alignment horizontal="center" vertical="center"/>
    </xf>
    <xf numFmtId="1" fontId="0" fillId="3" borderId="42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" fontId="0" fillId="3" borderId="27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0" fillId="3" borderId="27" xfId="0" applyNumberForma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43" xfId="0" applyNumberFormat="1" applyFill="1" applyBorder="1" applyAlignment="1">
      <alignment horizontal="center"/>
    </xf>
    <xf numFmtId="1" fontId="0" fillId="3" borderId="44" xfId="0" applyNumberForma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50" xfId="0" applyBorder="1" applyAlignment="1">
      <alignment/>
    </xf>
    <xf numFmtId="0" fontId="0" fillId="2" borderId="11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2" borderId="13" xfId="0" applyFill="1" applyBorder="1" applyAlignment="1">
      <alignment/>
    </xf>
    <xf numFmtId="0" fontId="0" fillId="2" borderId="54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1" fontId="0" fillId="2" borderId="10" xfId="0" applyNumberFormat="1" applyFill="1" applyBorder="1" applyAlignment="1">
      <alignment/>
    </xf>
    <xf numFmtId="0" fontId="0" fillId="0" borderId="40" xfId="0" applyBorder="1" applyAlignment="1">
      <alignment/>
    </xf>
    <xf numFmtId="1" fontId="0" fillId="0" borderId="55" xfId="0" applyNumberFormat="1" applyFill="1" applyBorder="1" applyAlignment="1">
      <alignment horizontal="center"/>
    </xf>
    <xf numFmtId="0" fontId="0" fillId="2" borderId="55" xfId="0" applyFill="1" applyBorder="1" applyAlignment="1">
      <alignment/>
    </xf>
    <xf numFmtId="0" fontId="0" fillId="2" borderId="55" xfId="0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Alignment="1">
      <alignment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3" fillId="4" borderId="61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/>
    </xf>
    <xf numFmtId="0" fontId="3" fillId="4" borderId="58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2" xfId="0" applyFill="1" applyBorder="1" applyAlignment="1">
      <alignment horizontal="center"/>
    </xf>
    <xf numFmtId="0" fontId="0" fillId="4" borderId="63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70" fontId="0" fillId="4" borderId="51" xfId="0" applyNumberFormat="1" applyFill="1" applyBorder="1" applyAlignment="1">
      <alignment horizontal="center"/>
    </xf>
    <xf numFmtId="170" fontId="0" fillId="4" borderId="4" xfId="0" applyNumberFormat="1" applyFill="1" applyBorder="1" applyAlignment="1">
      <alignment horizontal="center"/>
    </xf>
    <xf numFmtId="0" fontId="0" fillId="4" borderId="65" xfId="0" applyFill="1" applyBorder="1" applyAlignment="1">
      <alignment/>
    </xf>
    <xf numFmtId="0" fontId="0" fillId="4" borderId="36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170" fontId="0" fillId="4" borderId="65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37" xfId="0" applyBorder="1" applyAlignment="1">
      <alignment horizontal="center"/>
    </xf>
    <xf numFmtId="1" fontId="0" fillId="0" borderId="5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54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textRotation="90"/>
    </xf>
    <xf numFmtId="0" fontId="3" fillId="0" borderId="68" xfId="0" applyNumberFormat="1" applyFont="1" applyFill="1" applyBorder="1" applyAlignment="1">
      <alignment horizontal="center" vertical="center" textRotation="90"/>
    </xf>
    <xf numFmtId="0" fontId="8" fillId="0" borderId="38" xfId="0" applyFont="1" applyBorder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0" fontId="3" fillId="0" borderId="69" xfId="0" applyNumberFormat="1" applyFont="1" applyFill="1" applyBorder="1" applyAlignment="1">
      <alignment horizontal="center" vertical="center" textRotation="90"/>
    </xf>
    <xf numFmtId="0" fontId="3" fillId="4" borderId="69" xfId="0" applyNumberFormat="1" applyFont="1" applyFill="1" applyBorder="1" applyAlignment="1">
      <alignment horizontal="center" vertical="center" textRotation="90"/>
    </xf>
    <xf numFmtId="0" fontId="3" fillId="4" borderId="67" xfId="0" applyNumberFormat="1" applyFont="1" applyFill="1" applyBorder="1" applyAlignment="1">
      <alignment horizontal="center" vertical="center" textRotation="90"/>
    </xf>
    <xf numFmtId="0" fontId="3" fillId="4" borderId="2" xfId="0" applyNumberFormat="1" applyFont="1" applyFill="1" applyBorder="1" applyAlignment="1">
      <alignment horizontal="center" vertical="center" textRotation="90"/>
    </xf>
    <xf numFmtId="0" fontId="3" fillId="4" borderId="35" xfId="0" applyNumberFormat="1" applyFont="1" applyFill="1" applyBorder="1" applyAlignment="1">
      <alignment horizontal="center" vertical="center" textRotation="90"/>
    </xf>
    <xf numFmtId="1" fontId="0" fillId="0" borderId="11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7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66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71" xfId="0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4" borderId="72" xfId="0" applyFont="1" applyFill="1" applyBorder="1" applyAlignment="1">
      <alignment horizontal="center"/>
    </xf>
    <xf numFmtId="0" fontId="3" fillId="4" borderId="61" xfId="0" applyFont="1" applyFill="1" applyBorder="1" applyAlignment="1">
      <alignment horizontal="center"/>
    </xf>
    <xf numFmtId="0" fontId="3" fillId="4" borderId="7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49" fontId="3" fillId="0" borderId="74" xfId="0" applyNumberFormat="1" applyFont="1" applyFill="1" applyBorder="1" applyAlignment="1">
      <alignment horizontal="center"/>
    </xf>
    <xf numFmtId="49" fontId="3" fillId="0" borderId="75" xfId="0" applyNumberFormat="1" applyFont="1" applyFill="1" applyBorder="1" applyAlignment="1">
      <alignment horizontal="center"/>
    </xf>
    <xf numFmtId="49" fontId="3" fillId="0" borderId="7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" fontId="0" fillId="2" borderId="6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49" fontId="8" fillId="0" borderId="79" xfId="0" applyNumberFormat="1" applyFont="1" applyFill="1" applyBorder="1" applyAlignment="1">
      <alignment horizontal="center"/>
    </xf>
    <xf numFmtId="49" fontId="8" fillId="0" borderId="81" xfId="0" applyNumberFormat="1" applyFont="1" applyFill="1" applyBorder="1" applyAlignment="1">
      <alignment horizontal="center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59" xfId="0" applyFont="1" applyBorder="1" applyAlignment="1">
      <alignment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3" borderId="87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" fontId="3" fillId="3" borderId="25" xfId="0" applyNumberFormat="1" applyFont="1" applyFill="1" applyBorder="1" applyAlignment="1">
      <alignment horizontal="center"/>
    </xf>
    <xf numFmtId="1" fontId="3" fillId="3" borderId="88" xfId="0" applyNumberFormat="1" applyFont="1" applyFill="1" applyBorder="1" applyAlignment="1">
      <alignment horizontal="center"/>
    </xf>
    <xf numFmtId="1" fontId="3" fillId="3" borderId="89" xfId="0" applyNumberFormat="1" applyFont="1" applyFill="1" applyBorder="1" applyAlignment="1">
      <alignment horizontal="center"/>
    </xf>
    <xf numFmtId="1" fontId="3" fillId="3" borderId="90" xfId="0" applyNumberFormat="1" applyFont="1" applyFill="1" applyBorder="1" applyAlignment="1">
      <alignment horizontal="center"/>
    </xf>
    <xf numFmtId="0" fontId="3" fillId="3" borderId="89" xfId="0" applyFont="1" applyFill="1" applyBorder="1" applyAlignment="1">
      <alignment horizontal="center"/>
    </xf>
    <xf numFmtId="0" fontId="3" fillId="3" borderId="90" xfId="0" applyFont="1" applyFill="1" applyBorder="1" applyAlignment="1">
      <alignment horizontal="center"/>
    </xf>
    <xf numFmtId="164" fontId="0" fillId="0" borderId="27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</xdr:row>
      <xdr:rowOff>57150</xdr:rowOff>
    </xdr:from>
    <xdr:to>
      <xdr:col>4</xdr:col>
      <xdr:colOff>152400</xdr:colOff>
      <xdr:row>5</xdr:row>
      <xdr:rowOff>0</xdr:rowOff>
    </xdr:to>
    <xdr:sp>
      <xdr:nvSpPr>
        <xdr:cNvPr id="1" name="AutoShape 9"/>
        <xdr:cNvSpPr>
          <a:spLocks/>
        </xdr:cNvSpPr>
      </xdr:nvSpPr>
      <xdr:spPr>
        <a:xfrm>
          <a:off x="819150" y="571500"/>
          <a:ext cx="1638300" cy="523875"/>
        </a:xfrm>
        <a:prstGeom prst="wedgeRectCallout">
          <a:avLst>
            <a:gd name="adj1" fmla="val -41277"/>
            <a:gd name="adj2" fmla="val 11363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Add names of approach roadways, keeping order as shown (NB, SB, EB, WB)</a:t>
          </a:r>
        </a:p>
      </xdr:txBody>
    </xdr:sp>
    <xdr:clientData fPrintsWithSheet="0"/>
  </xdr:twoCellAnchor>
  <xdr:twoCellAnchor>
    <xdr:from>
      <xdr:col>10</xdr:col>
      <xdr:colOff>247650</xdr:colOff>
      <xdr:row>0</xdr:row>
      <xdr:rowOff>19050</xdr:rowOff>
    </xdr:from>
    <xdr:to>
      <xdr:col>12</xdr:col>
      <xdr:colOff>457200</xdr:colOff>
      <xdr:row>3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5181600" y="19050"/>
          <a:ext cx="1143000" cy="657225"/>
        </a:xfrm>
        <a:prstGeom prst="wedgeRectCallout">
          <a:avLst>
            <a:gd name="adj1" fmla="val -234166"/>
            <a:gd name="adj2" fmla="val 15579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Input intersection turning movements (unadjusted hourly volumes)</a:t>
          </a:r>
        </a:p>
      </xdr:txBody>
    </xdr:sp>
    <xdr:clientData fPrintsWithSheet="0"/>
  </xdr:twoCellAnchor>
  <xdr:twoCellAnchor>
    <xdr:from>
      <xdr:col>15</xdr:col>
      <xdr:colOff>66675</xdr:colOff>
      <xdr:row>1</xdr:row>
      <xdr:rowOff>57150</xdr:rowOff>
    </xdr:from>
    <xdr:to>
      <xdr:col>16</xdr:col>
      <xdr:colOff>733425</xdr:colOff>
      <xdr:row>3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7267575" y="304800"/>
          <a:ext cx="1114425" cy="523875"/>
        </a:xfrm>
        <a:prstGeom prst="wedgeRectCallout">
          <a:avLst>
            <a:gd name="adj1" fmla="val -90171"/>
            <a:gd name="adj2" fmla="val 13545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Input worksheet</a:t>
          </a:r>
        </a:p>
      </xdr:txBody>
    </xdr:sp>
    <xdr:clientData fPrintsWithSheet="0"/>
  </xdr:twoCellAnchor>
  <xdr:twoCellAnchor>
    <xdr:from>
      <xdr:col>15</xdr:col>
      <xdr:colOff>447675</xdr:colOff>
      <xdr:row>26</xdr:row>
      <xdr:rowOff>0</xdr:rowOff>
    </xdr:from>
    <xdr:to>
      <xdr:col>17</xdr:col>
      <xdr:colOff>66675</xdr:colOff>
      <xdr:row>29</xdr:row>
      <xdr:rowOff>38100</xdr:rowOff>
    </xdr:to>
    <xdr:sp>
      <xdr:nvSpPr>
        <xdr:cNvPr id="4" name="AutoShape 18"/>
        <xdr:cNvSpPr>
          <a:spLocks/>
        </xdr:cNvSpPr>
      </xdr:nvSpPr>
      <xdr:spPr>
        <a:xfrm>
          <a:off x="7648575" y="4619625"/>
          <a:ext cx="971550" cy="523875"/>
        </a:xfrm>
        <a:prstGeom prst="wedgeRectCallout">
          <a:avLst>
            <a:gd name="adj1" fmla="val -119157"/>
            <a:gd name="adj2" fmla="val 26090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Output worksheet</a:t>
          </a:r>
        </a:p>
      </xdr:txBody>
    </xdr:sp>
    <xdr:clientData fPrintsWithSheet="0"/>
  </xdr:twoCellAnchor>
  <xdr:twoCellAnchor>
    <xdr:from>
      <xdr:col>0</xdr:col>
      <xdr:colOff>57150</xdr:colOff>
      <xdr:row>0</xdr:row>
      <xdr:rowOff>47625</xdr:rowOff>
    </xdr:from>
    <xdr:to>
      <xdr:col>2</xdr:col>
      <xdr:colOff>180975</xdr:colOff>
      <xdr:row>1</xdr:row>
      <xdr:rowOff>152400</xdr:rowOff>
    </xdr:to>
    <xdr:sp>
      <xdr:nvSpPr>
        <xdr:cNvPr id="5" name="AutoShape 19"/>
        <xdr:cNvSpPr>
          <a:spLocks/>
        </xdr:cNvSpPr>
      </xdr:nvSpPr>
      <xdr:spPr>
        <a:xfrm>
          <a:off x="57150" y="47625"/>
          <a:ext cx="1533525" cy="352425"/>
        </a:xfrm>
        <a:prstGeom prst="wedgeRectCallout">
          <a:avLst>
            <a:gd name="adj1" fmla="val -44412"/>
            <a:gd name="adj2" fmla="val 33648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Indicate time periods to be studied (e.g. 2025 PM)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0</xdr:row>
      <xdr:rowOff>123825</xdr:rowOff>
    </xdr:from>
    <xdr:to>
      <xdr:col>12</xdr:col>
      <xdr:colOff>266700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91225" y="123825"/>
          <a:ext cx="1638300" cy="781050"/>
        </a:xfrm>
        <a:prstGeom prst="wedgeRectCallout">
          <a:avLst>
            <a:gd name="adj1" fmla="val -77324"/>
            <a:gd name="adj2" fmla="val 16272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Values computed in this table are written to "Input &amp; Output" worksheet</a:t>
          </a:r>
        </a:p>
      </xdr:txBody>
    </xdr:sp>
    <xdr:clientData fPrintsWithSheet="0"/>
  </xdr:twoCellAnchor>
  <xdr:twoCellAnchor>
    <xdr:from>
      <xdr:col>10</xdr:col>
      <xdr:colOff>476250</xdr:colOff>
      <xdr:row>7</xdr:row>
      <xdr:rowOff>409575</xdr:rowOff>
    </xdr:from>
    <xdr:to>
      <xdr:col>13</xdr:col>
      <xdr:colOff>285750</xdr:colOff>
      <xdr:row>11</xdr:row>
      <xdr:rowOff>161925</xdr:rowOff>
    </xdr:to>
    <xdr:sp>
      <xdr:nvSpPr>
        <xdr:cNvPr id="2" name="AutoShape 4"/>
        <xdr:cNvSpPr>
          <a:spLocks/>
        </xdr:cNvSpPr>
      </xdr:nvSpPr>
      <xdr:spPr>
        <a:xfrm>
          <a:off x="6619875" y="1857375"/>
          <a:ext cx="1638300" cy="1152525"/>
        </a:xfrm>
        <a:prstGeom prst="wedgeRectCallout">
          <a:avLst>
            <a:gd name="adj1" fmla="val -114537"/>
            <a:gd name="adj2" fmla="val -25208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This spreadsheet is able to calculate entry volumes only for this standard lane use.  Other lane use arrangements will require manual computation of entry volumes.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0</xdr:row>
      <xdr:rowOff>123825</xdr:rowOff>
    </xdr:from>
    <xdr:to>
      <xdr:col>12</xdr:col>
      <xdr:colOff>266700</xdr:colOff>
      <xdr:row>4</xdr:row>
      <xdr:rowOff>0</xdr:rowOff>
    </xdr:to>
    <xdr:sp>
      <xdr:nvSpPr>
        <xdr:cNvPr id="1" name="AutoShape 4"/>
        <xdr:cNvSpPr>
          <a:spLocks/>
        </xdr:cNvSpPr>
      </xdr:nvSpPr>
      <xdr:spPr>
        <a:xfrm>
          <a:off x="5991225" y="123825"/>
          <a:ext cx="1638300" cy="781050"/>
        </a:xfrm>
        <a:prstGeom prst="wedgeRectCallout">
          <a:avLst>
            <a:gd name="adj1" fmla="val -77324"/>
            <a:gd name="adj2" fmla="val 16272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Values computed in this table are written to "Input &amp; Output" worksheet</a:t>
          </a:r>
        </a:p>
      </xdr:txBody>
    </xdr:sp>
    <xdr:clientData fPrintsWithSheet="0"/>
  </xdr:twoCellAnchor>
  <xdr:twoCellAnchor>
    <xdr:from>
      <xdr:col>10</xdr:col>
      <xdr:colOff>476250</xdr:colOff>
      <xdr:row>7</xdr:row>
      <xdr:rowOff>409575</xdr:rowOff>
    </xdr:from>
    <xdr:to>
      <xdr:col>13</xdr:col>
      <xdr:colOff>285750</xdr:colOff>
      <xdr:row>11</xdr:row>
      <xdr:rowOff>161925</xdr:rowOff>
    </xdr:to>
    <xdr:sp>
      <xdr:nvSpPr>
        <xdr:cNvPr id="2" name="AutoShape 6"/>
        <xdr:cNvSpPr>
          <a:spLocks/>
        </xdr:cNvSpPr>
      </xdr:nvSpPr>
      <xdr:spPr>
        <a:xfrm>
          <a:off x="6619875" y="1857375"/>
          <a:ext cx="1638300" cy="1152525"/>
        </a:xfrm>
        <a:prstGeom prst="wedgeRectCallout">
          <a:avLst>
            <a:gd name="adj1" fmla="val -114537"/>
            <a:gd name="adj2" fmla="val -25208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This spreadsheet is able to calculate entry volumes only for this standard lane use.  Other lane use arrangements will require manual computation of entry volumes.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0</xdr:row>
      <xdr:rowOff>123825</xdr:rowOff>
    </xdr:from>
    <xdr:to>
      <xdr:col>12</xdr:col>
      <xdr:colOff>266700</xdr:colOff>
      <xdr:row>4</xdr:row>
      <xdr:rowOff>0</xdr:rowOff>
    </xdr:to>
    <xdr:sp>
      <xdr:nvSpPr>
        <xdr:cNvPr id="1" name="AutoShape 4"/>
        <xdr:cNvSpPr>
          <a:spLocks/>
        </xdr:cNvSpPr>
      </xdr:nvSpPr>
      <xdr:spPr>
        <a:xfrm>
          <a:off x="5991225" y="123825"/>
          <a:ext cx="1638300" cy="781050"/>
        </a:xfrm>
        <a:prstGeom prst="wedgeRectCallout">
          <a:avLst>
            <a:gd name="adj1" fmla="val -77324"/>
            <a:gd name="adj2" fmla="val 16272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Values computed in this table are written to "Input &amp; Output" worksheet</a:t>
          </a:r>
        </a:p>
      </xdr:txBody>
    </xdr:sp>
    <xdr:clientData fPrintsWithSheet="0"/>
  </xdr:twoCellAnchor>
  <xdr:twoCellAnchor>
    <xdr:from>
      <xdr:col>11</xdr:col>
      <xdr:colOff>104775</xdr:colOff>
      <xdr:row>7</xdr:row>
      <xdr:rowOff>228600</xdr:rowOff>
    </xdr:from>
    <xdr:to>
      <xdr:col>13</xdr:col>
      <xdr:colOff>523875</xdr:colOff>
      <xdr:row>10</xdr:row>
      <xdr:rowOff>142875</xdr:rowOff>
    </xdr:to>
    <xdr:sp>
      <xdr:nvSpPr>
        <xdr:cNvPr id="2" name="AutoShape 5"/>
        <xdr:cNvSpPr>
          <a:spLocks/>
        </xdr:cNvSpPr>
      </xdr:nvSpPr>
      <xdr:spPr>
        <a:xfrm>
          <a:off x="6858000" y="1676400"/>
          <a:ext cx="1638300" cy="1152525"/>
        </a:xfrm>
        <a:prstGeom prst="wedgeRectCallout">
          <a:avLst>
            <a:gd name="adj1" fmla="val -130814"/>
            <a:gd name="adj2" fmla="val -1281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This spreadsheet is able to calculate entry volumes only for this standard lane use.  Other lane use arrangements will require manual computation of entry volumes.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0</xdr:row>
      <xdr:rowOff>123825</xdr:rowOff>
    </xdr:from>
    <xdr:to>
      <xdr:col>12</xdr:col>
      <xdr:colOff>266700</xdr:colOff>
      <xdr:row>4</xdr:row>
      <xdr:rowOff>0</xdr:rowOff>
    </xdr:to>
    <xdr:sp>
      <xdr:nvSpPr>
        <xdr:cNvPr id="1" name="AutoShape 4"/>
        <xdr:cNvSpPr>
          <a:spLocks/>
        </xdr:cNvSpPr>
      </xdr:nvSpPr>
      <xdr:spPr>
        <a:xfrm>
          <a:off x="5991225" y="123825"/>
          <a:ext cx="1638300" cy="781050"/>
        </a:xfrm>
        <a:prstGeom prst="wedgeRectCallout">
          <a:avLst>
            <a:gd name="adj1" fmla="val -77324"/>
            <a:gd name="adj2" fmla="val 16272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Values computed in this table are written to "Input &amp; Output" worksheet</a:t>
          </a:r>
        </a:p>
      </xdr:txBody>
    </xdr:sp>
    <xdr:clientData fPrintsWithSheet="0"/>
  </xdr:twoCellAnchor>
  <xdr:twoCellAnchor>
    <xdr:from>
      <xdr:col>10</xdr:col>
      <xdr:colOff>466725</xdr:colOff>
      <xdr:row>7</xdr:row>
      <xdr:rowOff>304800</xdr:rowOff>
    </xdr:from>
    <xdr:to>
      <xdr:col>13</xdr:col>
      <xdr:colOff>276225</xdr:colOff>
      <xdr:row>11</xdr:row>
      <xdr:rowOff>57150</xdr:rowOff>
    </xdr:to>
    <xdr:sp>
      <xdr:nvSpPr>
        <xdr:cNvPr id="2" name="AutoShape 5"/>
        <xdr:cNvSpPr>
          <a:spLocks/>
        </xdr:cNvSpPr>
      </xdr:nvSpPr>
      <xdr:spPr>
        <a:xfrm>
          <a:off x="6610350" y="1752600"/>
          <a:ext cx="1638300" cy="1152525"/>
        </a:xfrm>
        <a:prstGeom prst="wedgeRectCallout">
          <a:avLst>
            <a:gd name="adj1" fmla="val -116277"/>
            <a:gd name="adj2" fmla="val -17768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This spreadsheet is able to calculate entry volumes only for this standard lane use.  Other lane use arrangements will require manual computation of entry volumes.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2"/>
  <sheetViews>
    <sheetView tabSelected="1" workbookViewId="0" topLeftCell="A15">
      <selection activeCell="F65" sqref="F65"/>
    </sheetView>
  </sheetViews>
  <sheetFormatPr defaultColWidth="9.140625" defaultRowHeight="12.75"/>
  <cols>
    <col min="1" max="1" width="5.7109375" style="0" customWidth="1"/>
    <col min="2" max="2" width="15.421875" style="0" customWidth="1"/>
    <col min="3" max="6" width="6.7109375" style="0" customWidth="1"/>
    <col min="7" max="7" width="5.8515625" style="0" customWidth="1"/>
    <col min="8" max="11" width="6.7109375" style="0" customWidth="1"/>
    <col min="12" max="13" width="7.28125" style="0" customWidth="1"/>
    <col min="14" max="14" width="8.7109375" style="0" customWidth="1"/>
    <col min="15" max="15" width="4.00390625" style="0" customWidth="1"/>
    <col min="16" max="16" width="6.7109375" style="0" customWidth="1"/>
    <col min="17" max="17" width="13.57421875" style="0" customWidth="1"/>
    <col min="18" max="18" width="13.28125" style="0" customWidth="1"/>
    <col min="19" max="21" width="9.7109375" style="0" customWidth="1"/>
    <col min="22" max="22" width="5.7109375" style="0" customWidth="1"/>
    <col min="23" max="23" width="12.8515625" style="0" customWidth="1"/>
    <col min="25" max="25" width="9.00390625" style="0" customWidth="1"/>
    <col min="28" max="28" width="12.57421875" style="0" customWidth="1"/>
    <col min="30" max="30" width="10.7109375" style="0" customWidth="1"/>
    <col min="34" max="34" width="12.7109375" style="0" customWidth="1"/>
  </cols>
  <sheetData>
    <row r="1" spans="1:23" ht="19.5" customHeight="1">
      <c r="A1" s="238" t="s">
        <v>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54"/>
      <c r="P1" s="54"/>
      <c r="Q1" s="54"/>
      <c r="R1" s="54"/>
      <c r="S1" s="54"/>
      <c r="T1" s="54"/>
      <c r="U1" s="54"/>
      <c r="V1" s="54"/>
      <c r="W1" s="54"/>
    </row>
    <row r="2" spans="1:23" ht="21">
      <c r="A2" s="238" t="s">
        <v>75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54"/>
      <c r="P2" s="54"/>
      <c r="Q2" s="54"/>
      <c r="R2" s="54"/>
      <c r="S2" s="54"/>
      <c r="T2" s="54"/>
      <c r="U2" s="54"/>
      <c r="V2" s="54"/>
      <c r="W2" s="54"/>
    </row>
    <row r="3" spans="19:34" ht="12.75">
      <c r="S3" s="119"/>
      <c r="T3" s="119"/>
      <c r="U3" s="119"/>
      <c r="V3" s="119"/>
      <c r="W3" s="137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</row>
    <row r="4" spans="1:34" ht="16.5">
      <c r="A4" s="239" t="s">
        <v>6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55"/>
      <c r="P4" s="55"/>
      <c r="Q4" s="55"/>
      <c r="R4" s="55"/>
      <c r="S4" s="138"/>
      <c r="T4" s="138"/>
      <c r="U4" s="138"/>
      <c r="V4" s="138"/>
      <c r="W4" s="138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</row>
    <row r="5" spans="1:34" ht="16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43"/>
      <c r="P5" s="43"/>
      <c r="Q5" s="43"/>
      <c r="R5" s="43"/>
      <c r="S5" s="139"/>
      <c r="T5" s="139"/>
      <c r="U5" s="139"/>
      <c r="V5" s="139"/>
      <c r="W5" s="139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</row>
    <row r="6" spans="1:34" ht="16.5" thickBot="1">
      <c r="A6" s="215" t="s">
        <v>97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33"/>
      <c r="P6" s="233"/>
      <c r="Q6" s="233"/>
      <c r="R6" s="233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</row>
    <row r="7" spans="1:34" ht="15.75" customHeight="1">
      <c r="A7" s="179"/>
      <c r="B7" s="180"/>
      <c r="C7" s="234" t="s">
        <v>13</v>
      </c>
      <c r="D7" s="235"/>
      <c r="E7" s="235"/>
      <c r="F7" s="236"/>
      <c r="G7" s="181" t="s">
        <v>11</v>
      </c>
      <c r="H7" s="241" t="s">
        <v>70</v>
      </c>
      <c r="I7" s="242"/>
      <c r="J7" s="242"/>
      <c r="K7" s="243"/>
      <c r="L7" s="245" t="s">
        <v>12</v>
      </c>
      <c r="M7" s="246"/>
      <c r="N7" s="247"/>
      <c r="O7" s="244"/>
      <c r="P7" s="240"/>
      <c r="Q7" s="244"/>
      <c r="R7" s="240"/>
      <c r="S7" s="204"/>
      <c r="T7" s="203"/>
      <c r="U7" s="204"/>
      <c r="V7" s="203"/>
      <c r="W7" s="204"/>
      <c r="X7" s="204"/>
      <c r="Y7" s="203"/>
      <c r="Z7" s="204"/>
      <c r="AA7" s="203"/>
      <c r="AB7" s="204"/>
      <c r="AC7" s="204"/>
      <c r="AD7" s="248"/>
      <c r="AE7" s="203"/>
      <c r="AF7" s="204"/>
      <c r="AG7" s="203"/>
      <c r="AH7" s="204"/>
    </row>
    <row r="8" spans="1:34" ht="15.75" customHeight="1">
      <c r="A8" s="182" t="s">
        <v>1</v>
      </c>
      <c r="B8" s="183" t="s">
        <v>0</v>
      </c>
      <c r="C8" s="184" t="s">
        <v>14</v>
      </c>
      <c r="D8" s="185" t="s">
        <v>2</v>
      </c>
      <c r="E8" s="186" t="s">
        <v>3</v>
      </c>
      <c r="F8" s="187" t="s">
        <v>4</v>
      </c>
      <c r="G8" s="185"/>
      <c r="H8" s="6" t="s">
        <v>14</v>
      </c>
      <c r="I8" s="32" t="s">
        <v>2</v>
      </c>
      <c r="J8" s="20" t="s">
        <v>3</v>
      </c>
      <c r="K8" s="17" t="s">
        <v>4</v>
      </c>
      <c r="L8" s="6" t="s">
        <v>58</v>
      </c>
      <c r="M8" s="13" t="s">
        <v>90</v>
      </c>
      <c r="N8" s="47" t="s">
        <v>91</v>
      </c>
      <c r="O8" s="244"/>
      <c r="P8" s="240"/>
      <c r="Q8" s="244"/>
      <c r="R8" s="240"/>
      <c r="S8" s="204"/>
      <c r="T8" s="203"/>
      <c r="U8" s="204"/>
      <c r="V8" s="203"/>
      <c r="W8" s="204"/>
      <c r="X8" s="204"/>
      <c r="Y8" s="203"/>
      <c r="Z8" s="204"/>
      <c r="AA8" s="203"/>
      <c r="AB8" s="204"/>
      <c r="AC8" s="204"/>
      <c r="AD8" s="248"/>
      <c r="AE8" s="203"/>
      <c r="AF8" s="204"/>
      <c r="AG8" s="203"/>
      <c r="AH8" s="204"/>
    </row>
    <row r="9" spans="1:34" ht="12.75">
      <c r="A9" s="218" t="s">
        <v>77</v>
      </c>
      <c r="B9" s="188" t="s">
        <v>7</v>
      </c>
      <c r="C9" s="189">
        <v>0</v>
      </c>
      <c r="D9" s="190">
        <v>0</v>
      </c>
      <c r="E9" s="191">
        <v>0</v>
      </c>
      <c r="F9" s="190">
        <v>0</v>
      </c>
      <c r="G9" s="192">
        <v>0.9</v>
      </c>
      <c r="H9" s="9">
        <f aca="true" t="shared" si="0" ref="H9:I12">C9/$G9</f>
        <v>0</v>
      </c>
      <c r="I9" s="33">
        <f t="shared" si="0"/>
        <v>0</v>
      </c>
      <c r="J9" s="18">
        <f aca="true" t="shared" si="1" ref="J9:K12">E9/$G9</f>
        <v>0</v>
      </c>
      <c r="K9" s="27">
        <f t="shared" si="1"/>
        <v>0</v>
      </c>
      <c r="L9" s="9">
        <f>I11+J11+I10+H10+H11+H12</f>
        <v>0</v>
      </c>
      <c r="M9" s="18">
        <f>SUM(H9:K9)</f>
        <v>0</v>
      </c>
      <c r="N9" s="48">
        <f>K11+J10+I12+H9</f>
        <v>0</v>
      </c>
      <c r="O9" s="25"/>
      <c r="P9" s="39"/>
      <c r="Q9" s="38"/>
      <c r="R9" s="38"/>
      <c r="S9" s="25"/>
      <c r="T9" s="39"/>
      <c r="U9" s="38"/>
      <c r="V9" s="39"/>
      <c r="W9" s="38"/>
      <c r="X9" s="16"/>
      <c r="Y9" s="39"/>
      <c r="Z9" s="38"/>
      <c r="AA9" s="140"/>
      <c r="AB9" s="38"/>
      <c r="AC9" s="16"/>
      <c r="AD9" s="16"/>
      <c r="AE9" s="39"/>
      <c r="AF9" s="38"/>
      <c r="AG9" s="140"/>
      <c r="AH9" s="38"/>
    </row>
    <row r="10" spans="1:34" ht="12.75">
      <c r="A10" s="219"/>
      <c r="B10" s="188" t="s">
        <v>8</v>
      </c>
      <c r="C10" s="189">
        <v>0</v>
      </c>
      <c r="D10" s="190">
        <v>0</v>
      </c>
      <c r="E10" s="191">
        <v>0</v>
      </c>
      <c r="F10" s="190">
        <v>0</v>
      </c>
      <c r="G10" s="193">
        <f>$G$9</f>
        <v>0.9</v>
      </c>
      <c r="H10" s="9">
        <f t="shared" si="0"/>
        <v>0</v>
      </c>
      <c r="I10" s="33">
        <f t="shared" si="0"/>
        <v>0</v>
      </c>
      <c r="J10" s="18">
        <f t="shared" si="1"/>
        <v>0</v>
      </c>
      <c r="K10" s="27">
        <f t="shared" si="1"/>
        <v>0</v>
      </c>
      <c r="L10" s="9">
        <f>I12+J12+I9+H9+H11+H12</f>
        <v>0</v>
      </c>
      <c r="M10" s="18">
        <f>SUM(H10:K10)</f>
        <v>0</v>
      </c>
      <c r="N10" s="48">
        <f>I11+J9+K12+H10</f>
        <v>0</v>
      </c>
      <c r="O10" s="25"/>
      <c r="P10" s="39"/>
      <c r="Q10" s="38"/>
      <c r="R10" s="38"/>
      <c r="S10" s="25"/>
      <c r="T10" s="39"/>
      <c r="U10" s="38"/>
      <c r="V10" s="39"/>
      <c r="W10" s="38"/>
      <c r="X10" s="16"/>
      <c r="Y10" s="39"/>
      <c r="Z10" s="38"/>
      <c r="AA10" s="140"/>
      <c r="AB10" s="38"/>
      <c r="AC10" s="16"/>
      <c r="AD10" s="16"/>
      <c r="AE10" s="39"/>
      <c r="AF10" s="38"/>
      <c r="AG10" s="140"/>
      <c r="AH10" s="38"/>
    </row>
    <row r="11" spans="1:34" ht="12.75">
      <c r="A11" s="219"/>
      <c r="B11" s="188" t="s">
        <v>9</v>
      </c>
      <c r="C11" s="189">
        <v>0</v>
      </c>
      <c r="D11" s="190">
        <v>0</v>
      </c>
      <c r="E11" s="191">
        <v>0</v>
      </c>
      <c r="F11" s="190">
        <v>0</v>
      </c>
      <c r="G11" s="193">
        <f>$G$9</f>
        <v>0.9</v>
      </c>
      <c r="H11" s="9">
        <f t="shared" si="0"/>
        <v>0</v>
      </c>
      <c r="I11" s="33">
        <f t="shared" si="0"/>
        <v>0</v>
      </c>
      <c r="J11" s="18">
        <f t="shared" si="1"/>
        <v>0</v>
      </c>
      <c r="K11" s="27">
        <f t="shared" si="1"/>
        <v>0</v>
      </c>
      <c r="L11" s="9">
        <f>I10+J10+I12+H9+H10+H12</f>
        <v>0</v>
      </c>
      <c r="M11" s="18">
        <f>SUM(H11:K11)</f>
        <v>0</v>
      </c>
      <c r="N11" s="48">
        <f>I9+J12+K10+H11</f>
        <v>0</v>
      </c>
      <c r="O11" s="25"/>
      <c r="P11" s="39"/>
      <c r="Q11" s="38"/>
      <c r="R11" s="38"/>
      <c r="S11" s="25"/>
      <c r="T11" s="39"/>
      <c r="U11" s="38"/>
      <c r="V11" s="39"/>
      <c r="W11" s="38"/>
      <c r="X11" s="16"/>
      <c r="Y11" s="39"/>
      <c r="Z11" s="38"/>
      <c r="AA11" s="140"/>
      <c r="AB11" s="38"/>
      <c r="AC11" s="16"/>
      <c r="AD11" s="16"/>
      <c r="AE11" s="39"/>
      <c r="AF11" s="38"/>
      <c r="AG11" s="140"/>
      <c r="AH11" s="38"/>
    </row>
    <row r="12" spans="1:34" ht="12.75">
      <c r="A12" s="219"/>
      <c r="B12" s="188" t="s">
        <v>10</v>
      </c>
      <c r="C12" s="189">
        <v>0</v>
      </c>
      <c r="D12" s="190">
        <v>0</v>
      </c>
      <c r="E12" s="191">
        <v>0</v>
      </c>
      <c r="F12" s="190">
        <v>0</v>
      </c>
      <c r="G12" s="193">
        <f>$G$9</f>
        <v>0.9</v>
      </c>
      <c r="H12" s="26">
        <f t="shared" si="0"/>
        <v>0</v>
      </c>
      <c r="I12" s="33">
        <f t="shared" si="0"/>
        <v>0</v>
      </c>
      <c r="J12" s="18">
        <f t="shared" si="1"/>
        <v>0</v>
      </c>
      <c r="K12" s="27">
        <f t="shared" si="1"/>
        <v>0</v>
      </c>
      <c r="L12" s="26">
        <f>I11+I9+J9+H9+H10+H11</f>
        <v>0</v>
      </c>
      <c r="M12" s="25">
        <f>SUM(H12:K12)</f>
        <v>0</v>
      </c>
      <c r="N12" s="49">
        <f>J11+K9+I10+H12</f>
        <v>0</v>
      </c>
      <c r="O12" s="25"/>
      <c r="P12" s="39"/>
      <c r="Q12" s="38"/>
      <c r="R12" s="38"/>
      <c r="S12" s="25"/>
      <c r="T12" s="39"/>
      <c r="U12" s="38"/>
      <c r="V12" s="39"/>
      <c r="W12" s="38"/>
      <c r="X12" s="16"/>
      <c r="Y12" s="39"/>
      <c r="Z12" s="38"/>
      <c r="AA12" s="140"/>
      <c r="AB12" s="38"/>
      <c r="AC12" s="16"/>
      <c r="AD12" s="16"/>
      <c r="AE12" s="39"/>
      <c r="AF12" s="38"/>
      <c r="AG12" s="140"/>
      <c r="AH12" s="38"/>
    </row>
    <row r="13" spans="1:34" ht="12.75">
      <c r="A13" s="4"/>
      <c r="B13" s="5"/>
      <c r="C13" s="23"/>
      <c r="D13" s="14"/>
      <c r="E13" s="22"/>
      <c r="F13" s="14"/>
      <c r="G13" s="5"/>
      <c r="H13" s="8"/>
      <c r="I13" s="34"/>
      <c r="J13" s="19"/>
      <c r="K13" s="28"/>
      <c r="L13" s="8"/>
      <c r="M13" s="14"/>
      <c r="N13" s="51"/>
      <c r="O13" s="46"/>
      <c r="P13" s="16"/>
      <c r="Q13" s="16"/>
      <c r="R13" s="38"/>
      <c r="S13" s="25"/>
      <c r="T13" s="16"/>
      <c r="U13" s="16"/>
      <c r="V13" s="16"/>
      <c r="W13" s="38"/>
      <c r="X13" s="41"/>
      <c r="Y13" s="41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2.75">
      <c r="A14" s="4"/>
      <c r="B14" s="5"/>
      <c r="C14" s="23"/>
      <c r="D14" s="14"/>
      <c r="E14" s="22"/>
      <c r="F14" s="14"/>
      <c r="G14" s="5"/>
      <c r="H14" s="8"/>
      <c r="I14" s="34"/>
      <c r="J14" s="19"/>
      <c r="K14" s="28"/>
      <c r="L14" s="8"/>
      <c r="M14" s="14"/>
      <c r="N14" s="51"/>
      <c r="O14" s="46"/>
      <c r="P14" s="16"/>
      <c r="Q14" s="16"/>
      <c r="R14" s="38"/>
      <c r="S14" s="25"/>
      <c r="T14" s="16"/>
      <c r="U14" s="16"/>
      <c r="V14" s="16"/>
      <c r="W14" s="38"/>
      <c r="X14" s="41"/>
      <c r="Y14" s="41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2.75">
      <c r="A15" s="219" t="s">
        <v>78</v>
      </c>
      <c r="B15" s="188" t="str">
        <f>NB</f>
        <v>NB approach</v>
      </c>
      <c r="C15" s="189">
        <v>0</v>
      </c>
      <c r="D15" s="190">
        <v>0</v>
      </c>
      <c r="E15" s="191">
        <v>0</v>
      </c>
      <c r="F15" s="190">
        <v>0</v>
      </c>
      <c r="G15" s="193">
        <f>G9</f>
        <v>0.9</v>
      </c>
      <c r="H15" s="9">
        <f aca="true" t="shared" si="2" ref="H15:I18">C15/$G15</f>
        <v>0</v>
      </c>
      <c r="I15" s="33">
        <f t="shared" si="2"/>
        <v>0</v>
      </c>
      <c r="J15" s="18">
        <f aca="true" t="shared" si="3" ref="J15:K18">E15/$G15</f>
        <v>0</v>
      </c>
      <c r="K15" s="27">
        <f t="shared" si="3"/>
        <v>0</v>
      </c>
      <c r="L15" s="7">
        <f>I17+J17+I16+H16+H17+H18</f>
        <v>0</v>
      </c>
      <c r="M15" s="15">
        <f>SUM(H15:K15)</f>
        <v>0</v>
      </c>
      <c r="N15" s="52">
        <f>K17+J16+I18+H15</f>
        <v>0</v>
      </c>
      <c r="O15" s="25"/>
      <c r="P15" s="39"/>
      <c r="Q15" s="38"/>
      <c r="R15" s="38"/>
      <c r="S15" s="25"/>
      <c r="T15" s="39"/>
      <c r="U15" s="38"/>
      <c r="V15" s="39"/>
      <c r="W15" s="38"/>
      <c r="X15" s="41"/>
      <c r="Y15" s="41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2.75">
      <c r="A16" s="219"/>
      <c r="B16" s="188" t="str">
        <f>SB</f>
        <v>SB approach</v>
      </c>
      <c r="C16" s="189">
        <v>0</v>
      </c>
      <c r="D16" s="190">
        <v>0</v>
      </c>
      <c r="E16" s="191">
        <v>0</v>
      </c>
      <c r="F16" s="190">
        <v>0</v>
      </c>
      <c r="G16" s="193">
        <f>G10</f>
        <v>0.9</v>
      </c>
      <c r="H16" s="9">
        <f t="shared" si="2"/>
        <v>0</v>
      </c>
      <c r="I16" s="33">
        <f t="shared" si="2"/>
        <v>0</v>
      </c>
      <c r="J16" s="18">
        <f t="shared" si="3"/>
        <v>0</v>
      </c>
      <c r="K16" s="27">
        <f t="shared" si="3"/>
        <v>0</v>
      </c>
      <c r="L16" s="7">
        <f>I18+J18+I15+H15+H17+H18</f>
        <v>0</v>
      </c>
      <c r="M16" s="15">
        <f>SUM(H16:K16)</f>
        <v>0</v>
      </c>
      <c r="N16" s="52">
        <f>I17+J15+K18+H16</f>
        <v>0</v>
      </c>
      <c r="O16" s="25"/>
      <c r="P16" s="39"/>
      <c r="Q16" s="38"/>
      <c r="R16" s="38"/>
      <c r="S16" s="25"/>
      <c r="T16" s="39"/>
      <c r="U16" s="38"/>
      <c r="V16" s="39"/>
      <c r="W16" s="38"/>
      <c r="X16" s="41"/>
      <c r="Y16" s="41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2.75">
      <c r="A17" s="219"/>
      <c r="B17" s="188" t="str">
        <f>EB</f>
        <v>EB approach</v>
      </c>
      <c r="C17" s="189">
        <v>0</v>
      </c>
      <c r="D17" s="190">
        <v>0</v>
      </c>
      <c r="E17" s="191">
        <v>0</v>
      </c>
      <c r="F17" s="190">
        <v>0</v>
      </c>
      <c r="G17" s="193">
        <f>G11</f>
        <v>0.9</v>
      </c>
      <c r="H17" s="9">
        <f t="shared" si="2"/>
        <v>0</v>
      </c>
      <c r="I17" s="33">
        <f t="shared" si="2"/>
        <v>0</v>
      </c>
      <c r="J17" s="18">
        <f t="shared" si="3"/>
        <v>0</v>
      </c>
      <c r="K17" s="27">
        <f t="shared" si="3"/>
        <v>0</v>
      </c>
      <c r="L17" s="7">
        <f>I16+J16+I18+H15+H16+H18</f>
        <v>0</v>
      </c>
      <c r="M17" s="15">
        <f>SUM(H17:K17)</f>
        <v>0</v>
      </c>
      <c r="N17" s="52">
        <f>I15+J18+K16+H17</f>
        <v>0</v>
      </c>
      <c r="O17" s="25"/>
      <c r="P17" s="39"/>
      <c r="Q17" s="38"/>
      <c r="R17" s="38"/>
      <c r="S17" s="25"/>
      <c r="T17" s="39"/>
      <c r="U17" s="38"/>
      <c r="V17" s="39"/>
      <c r="W17" s="38"/>
      <c r="X17" s="41"/>
      <c r="Y17" s="41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2.75">
      <c r="A18" s="219"/>
      <c r="B18" s="188" t="str">
        <f>WB</f>
        <v>WB approach</v>
      </c>
      <c r="C18" s="189">
        <v>0</v>
      </c>
      <c r="D18" s="190">
        <v>0</v>
      </c>
      <c r="E18" s="191">
        <v>0</v>
      </c>
      <c r="F18" s="190">
        <v>0</v>
      </c>
      <c r="G18" s="193">
        <f>G12</f>
        <v>0.9</v>
      </c>
      <c r="H18" s="26">
        <f t="shared" si="2"/>
        <v>0</v>
      </c>
      <c r="I18" s="33">
        <f t="shared" si="2"/>
        <v>0</v>
      </c>
      <c r="J18" s="18">
        <f t="shared" si="3"/>
        <v>0</v>
      </c>
      <c r="K18" s="27">
        <f t="shared" si="3"/>
        <v>0</v>
      </c>
      <c r="L18" s="11">
        <f>I17+I15+J15+H15+H16+H17</f>
        <v>0</v>
      </c>
      <c r="M18" s="16">
        <f>SUM(H18:K18)</f>
        <v>0</v>
      </c>
      <c r="N18" s="50">
        <f>J17+K15+I16+H18</f>
        <v>0</v>
      </c>
      <c r="O18" s="25"/>
      <c r="P18" s="39"/>
      <c r="Q18" s="38"/>
      <c r="R18" s="38"/>
      <c r="S18" s="25"/>
      <c r="T18" s="39"/>
      <c r="U18" s="38"/>
      <c r="V18" s="39"/>
      <c r="W18" s="38"/>
      <c r="X18" s="41"/>
      <c r="Y18" s="41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2.75">
      <c r="A19" s="4"/>
      <c r="B19" s="5"/>
      <c r="C19" s="23"/>
      <c r="D19" s="14"/>
      <c r="E19" s="22"/>
      <c r="F19" s="14"/>
      <c r="G19" s="5"/>
      <c r="H19" s="8"/>
      <c r="I19" s="34"/>
      <c r="J19" s="19"/>
      <c r="K19" s="28"/>
      <c r="L19" s="8"/>
      <c r="M19" s="14"/>
      <c r="N19" s="51"/>
      <c r="O19" s="46"/>
      <c r="P19" s="16"/>
      <c r="Q19" s="16"/>
      <c r="R19" s="38"/>
      <c r="S19" s="25"/>
      <c r="T19" s="16"/>
      <c r="U19" s="16"/>
      <c r="V19" s="16"/>
      <c r="W19" s="38"/>
      <c r="X19" s="41"/>
      <c r="Y19" s="41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2.75">
      <c r="A20" s="4"/>
      <c r="B20" s="5"/>
      <c r="C20" s="23"/>
      <c r="D20" s="14"/>
      <c r="E20" s="22"/>
      <c r="F20" s="14"/>
      <c r="G20" s="5"/>
      <c r="H20" s="8"/>
      <c r="I20" s="34"/>
      <c r="J20" s="19"/>
      <c r="K20" s="28"/>
      <c r="L20" s="8"/>
      <c r="M20" s="14"/>
      <c r="N20" s="51"/>
      <c r="O20" s="46"/>
      <c r="P20" s="16"/>
      <c r="Q20" s="16"/>
      <c r="R20" s="38"/>
      <c r="S20" s="25"/>
      <c r="T20" s="16"/>
      <c r="U20" s="16"/>
      <c r="V20" s="16"/>
      <c r="W20" s="38"/>
      <c r="X20" s="41"/>
      <c r="Y20" s="41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2.75">
      <c r="A21" s="219" t="s">
        <v>79</v>
      </c>
      <c r="B21" s="188" t="str">
        <f>NB</f>
        <v>NB approach</v>
      </c>
      <c r="C21" s="189">
        <v>0</v>
      </c>
      <c r="D21" s="190">
        <v>0</v>
      </c>
      <c r="E21" s="191">
        <v>0</v>
      </c>
      <c r="F21" s="190">
        <v>0</v>
      </c>
      <c r="G21" s="193">
        <f>G9</f>
        <v>0.9</v>
      </c>
      <c r="H21" s="9">
        <f aca="true" t="shared" si="4" ref="H21:I24">C21/$G21</f>
        <v>0</v>
      </c>
      <c r="I21" s="33">
        <f t="shared" si="4"/>
        <v>0</v>
      </c>
      <c r="J21" s="18">
        <f aca="true" t="shared" si="5" ref="J21:K24">E21/$G21</f>
        <v>0</v>
      </c>
      <c r="K21" s="27">
        <f t="shared" si="5"/>
        <v>0</v>
      </c>
      <c r="L21" s="7">
        <f>I23+J23+I22+H22+H23+H24</f>
        <v>0</v>
      </c>
      <c r="M21" s="15">
        <f>SUM(H21:K21)</f>
        <v>0</v>
      </c>
      <c r="N21" s="52">
        <f>K23+J22+I24+H21</f>
        <v>0</v>
      </c>
      <c r="O21" s="25"/>
      <c r="P21" s="39"/>
      <c r="Q21" s="38"/>
      <c r="R21" s="38"/>
      <c r="S21" s="25"/>
      <c r="T21" s="39"/>
      <c r="U21" s="38"/>
      <c r="V21" s="39"/>
      <c r="W21" s="38"/>
      <c r="X21" s="41"/>
      <c r="Y21" s="41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2.75">
      <c r="A22" s="219"/>
      <c r="B22" s="188" t="str">
        <f>SB</f>
        <v>SB approach</v>
      </c>
      <c r="C22" s="189">
        <v>0</v>
      </c>
      <c r="D22" s="190">
        <v>0</v>
      </c>
      <c r="E22" s="191">
        <v>0</v>
      </c>
      <c r="F22" s="190">
        <v>0</v>
      </c>
      <c r="G22" s="193">
        <f>G10</f>
        <v>0.9</v>
      </c>
      <c r="H22" s="9">
        <f t="shared" si="4"/>
        <v>0</v>
      </c>
      <c r="I22" s="33">
        <f t="shared" si="4"/>
        <v>0</v>
      </c>
      <c r="J22" s="18">
        <f t="shared" si="5"/>
        <v>0</v>
      </c>
      <c r="K22" s="27">
        <f t="shared" si="5"/>
        <v>0</v>
      </c>
      <c r="L22" s="7">
        <f>I24+J24+I21+H21+H23+H24</f>
        <v>0</v>
      </c>
      <c r="M22" s="15">
        <f>SUM(H22:K22)</f>
        <v>0</v>
      </c>
      <c r="N22" s="52">
        <f>I23+J21+K24+H22</f>
        <v>0</v>
      </c>
      <c r="O22" s="25"/>
      <c r="P22" s="39"/>
      <c r="Q22" s="38"/>
      <c r="R22" s="38"/>
      <c r="S22" s="25"/>
      <c r="T22" s="39"/>
      <c r="U22" s="38"/>
      <c r="V22" s="39"/>
      <c r="W22" s="38"/>
      <c r="X22" s="41"/>
      <c r="Y22" s="41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2.75">
      <c r="A23" s="219"/>
      <c r="B23" s="188" t="str">
        <f>EB</f>
        <v>EB approach</v>
      </c>
      <c r="C23" s="189">
        <v>0</v>
      </c>
      <c r="D23" s="190">
        <v>0</v>
      </c>
      <c r="E23" s="191">
        <v>0</v>
      </c>
      <c r="F23" s="190">
        <v>0</v>
      </c>
      <c r="G23" s="193">
        <f>G11</f>
        <v>0.9</v>
      </c>
      <c r="H23" s="9">
        <f t="shared" si="4"/>
        <v>0</v>
      </c>
      <c r="I23" s="33">
        <f t="shared" si="4"/>
        <v>0</v>
      </c>
      <c r="J23" s="18">
        <f t="shared" si="5"/>
        <v>0</v>
      </c>
      <c r="K23" s="27">
        <f t="shared" si="5"/>
        <v>0</v>
      </c>
      <c r="L23" s="7">
        <f>I22+J22+I24+H21+H22+H24</f>
        <v>0</v>
      </c>
      <c r="M23" s="15">
        <f>SUM(H23:K23)</f>
        <v>0</v>
      </c>
      <c r="N23" s="52">
        <f>I21+J24+K22+H23</f>
        <v>0</v>
      </c>
      <c r="O23" s="25"/>
      <c r="P23" s="39"/>
      <c r="Q23" s="38"/>
      <c r="R23" s="38"/>
      <c r="S23" s="25"/>
      <c r="T23" s="39"/>
      <c r="U23" s="38"/>
      <c r="V23" s="39"/>
      <c r="W23" s="38"/>
      <c r="X23" s="41"/>
      <c r="Y23" s="41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2.75" customHeight="1">
      <c r="A24" s="219"/>
      <c r="B24" s="188" t="str">
        <f>WB</f>
        <v>WB approach</v>
      </c>
      <c r="C24" s="189">
        <v>0</v>
      </c>
      <c r="D24" s="190">
        <v>0</v>
      </c>
      <c r="E24" s="191">
        <v>0</v>
      </c>
      <c r="F24" s="190">
        <v>0</v>
      </c>
      <c r="G24" s="193">
        <f>G12</f>
        <v>0.9</v>
      </c>
      <c r="H24" s="26">
        <f t="shared" si="4"/>
        <v>0</v>
      </c>
      <c r="I24" s="33">
        <f t="shared" si="4"/>
        <v>0</v>
      </c>
      <c r="J24" s="18">
        <f t="shared" si="5"/>
        <v>0</v>
      </c>
      <c r="K24" s="27">
        <f t="shared" si="5"/>
        <v>0</v>
      </c>
      <c r="L24" s="11">
        <f>I23+I21+J21+H21+H22+H23</f>
        <v>0</v>
      </c>
      <c r="M24" s="16">
        <f>SUM(H24:K24)</f>
        <v>0</v>
      </c>
      <c r="N24" s="50">
        <f>J23+K21+I22+H24</f>
        <v>0</v>
      </c>
      <c r="O24" s="25"/>
      <c r="P24" s="39"/>
      <c r="Q24" s="38"/>
      <c r="R24" s="38"/>
      <c r="S24" s="25"/>
      <c r="T24" s="39"/>
      <c r="U24" s="38"/>
      <c r="V24" s="39"/>
      <c r="W24" s="38"/>
      <c r="X24" s="41"/>
      <c r="Y24" s="41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2.75" customHeight="1">
      <c r="A25" s="4"/>
      <c r="B25" s="5"/>
      <c r="C25" s="23"/>
      <c r="D25" s="14"/>
      <c r="E25" s="22"/>
      <c r="F25" s="14"/>
      <c r="G25" s="31"/>
      <c r="H25" s="23"/>
      <c r="I25" s="35"/>
      <c r="J25" s="24"/>
      <c r="K25" s="29"/>
      <c r="L25" s="23"/>
      <c r="M25" s="12"/>
      <c r="N25" s="53"/>
      <c r="O25" s="25"/>
      <c r="P25" s="39"/>
      <c r="Q25" s="39"/>
      <c r="R25" s="38"/>
      <c r="S25" s="25"/>
      <c r="T25" s="39"/>
      <c r="U25" s="39"/>
      <c r="V25" s="39"/>
      <c r="W25" s="38"/>
      <c r="X25" s="41"/>
      <c r="Y25" s="41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34" ht="12.75" customHeight="1">
      <c r="A26" s="4"/>
      <c r="B26" s="5"/>
      <c r="C26" s="23"/>
      <c r="D26" s="14"/>
      <c r="E26" s="22"/>
      <c r="F26" s="14"/>
      <c r="G26" s="31"/>
      <c r="H26" s="23"/>
      <c r="I26" s="35"/>
      <c r="J26" s="24"/>
      <c r="K26" s="29"/>
      <c r="L26" s="23"/>
      <c r="M26" s="12"/>
      <c r="N26" s="53"/>
      <c r="O26" s="25"/>
      <c r="P26" s="39"/>
      <c r="Q26" s="39"/>
      <c r="R26" s="38"/>
      <c r="S26" s="25"/>
      <c r="T26" s="39"/>
      <c r="U26" s="39"/>
      <c r="V26" s="39"/>
      <c r="W26" s="38"/>
      <c r="X26" s="41"/>
      <c r="Y26" s="41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 ht="12.75" customHeight="1">
      <c r="A27" s="220" t="s">
        <v>80</v>
      </c>
      <c r="B27" s="188" t="str">
        <f>NB</f>
        <v>NB approach</v>
      </c>
      <c r="C27" s="189">
        <v>0</v>
      </c>
      <c r="D27" s="190">
        <v>0</v>
      </c>
      <c r="E27" s="191">
        <v>0</v>
      </c>
      <c r="F27" s="190">
        <v>0</v>
      </c>
      <c r="G27" s="193">
        <f>G9</f>
        <v>0.9</v>
      </c>
      <c r="H27" s="26">
        <f aca="true" t="shared" si="6" ref="H27:I30">C27/$G27</f>
        <v>0</v>
      </c>
      <c r="I27" s="33">
        <f t="shared" si="6"/>
        <v>0</v>
      </c>
      <c r="J27" s="18">
        <f aca="true" t="shared" si="7" ref="J27:K30">E27/$G27</f>
        <v>0</v>
      </c>
      <c r="K27" s="27">
        <f t="shared" si="7"/>
        <v>0</v>
      </c>
      <c r="L27" s="26">
        <f>I29+J29+I28+H28+H29+H30</f>
        <v>0</v>
      </c>
      <c r="M27" s="25">
        <f>SUM(H27:K27)</f>
        <v>0</v>
      </c>
      <c r="N27" s="49">
        <f>K29+J28+I30+H27</f>
        <v>0</v>
      </c>
      <c r="O27" s="25"/>
      <c r="P27" s="39"/>
      <c r="Q27" s="38"/>
      <c r="R27" s="38"/>
      <c r="S27" s="25"/>
      <c r="T27" s="39"/>
      <c r="U27" s="38"/>
      <c r="V27" s="39"/>
      <c r="W27" s="38"/>
      <c r="X27" s="41"/>
      <c r="Y27" s="41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12.75">
      <c r="A28" s="220"/>
      <c r="B28" s="188" t="str">
        <f>SB</f>
        <v>SB approach</v>
      </c>
      <c r="C28" s="189">
        <v>0</v>
      </c>
      <c r="D28" s="190">
        <v>0</v>
      </c>
      <c r="E28" s="191">
        <v>0</v>
      </c>
      <c r="F28" s="190">
        <v>0</v>
      </c>
      <c r="G28" s="193">
        <f>G10</f>
        <v>0.9</v>
      </c>
      <c r="H28" s="26">
        <f t="shared" si="6"/>
        <v>0</v>
      </c>
      <c r="I28" s="33">
        <f t="shared" si="6"/>
        <v>0</v>
      </c>
      <c r="J28" s="18">
        <f t="shared" si="7"/>
        <v>0</v>
      </c>
      <c r="K28" s="27">
        <f t="shared" si="7"/>
        <v>0</v>
      </c>
      <c r="L28" s="26">
        <f>I30+J30+I27+H27+H29+H30</f>
        <v>0</v>
      </c>
      <c r="M28" s="25">
        <f>SUM(H28:K28)</f>
        <v>0</v>
      </c>
      <c r="N28" s="49">
        <f>I29+J27+K30+H28</f>
        <v>0</v>
      </c>
      <c r="O28" s="25"/>
      <c r="P28" s="39"/>
      <c r="Q28" s="38"/>
      <c r="R28" s="38"/>
      <c r="S28" s="25"/>
      <c r="T28" s="39"/>
      <c r="U28" s="38"/>
      <c r="V28" s="39"/>
      <c r="W28" s="38"/>
      <c r="X28" s="41"/>
      <c r="Y28" s="41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 ht="12.75">
      <c r="A29" s="220"/>
      <c r="B29" s="188" t="str">
        <f>EB</f>
        <v>EB approach</v>
      </c>
      <c r="C29" s="189">
        <v>0</v>
      </c>
      <c r="D29" s="190">
        <v>0</v>
      </c>
      <c r="E29" s="191">
        <v>0</v>
      </c>
      <c r="F29" s="190">
        <v>0</v>
      </c>
      <c r="G29" s="193">
        <f>G11</f>
        <v>0.9</v>
      </c>
      <c r="H29" s="9">
        <f t="shared" si="6"/>
        <v>0</v>
      </c>
      <c r="I29" s="33">
        <f t="shared" si="6"/>
        <v>0</v>
      </c>
      <c r="J29" s="18">
        <f t="shared" si="7"/>
        <v>0</v>
      </c>
      <c r="K29" s="27">
        <f t="shared" si="7"/>
        <v>0</v>
      </c>
      <c r="L29" s="9">
        <f>I28+J28+I30+H27+H28+H30</f>
        <v>0</v>
      </c>
      <c r="M29" s="18">
        <f>SUM(H29:K29)</f>
        <v>0</v>
      </c>
      <c r="N29" s="48">
        <f>I27+J30+K28+H29</f>
        <v>0</v>
      </c>
      <c r="O29" s="25"/>
      <c r="P29" s="39"/>
      <c r="Q29" s="38"/>
      <c r="R29" s="38"/>
      <c r="S29" s="25"/>
      <c r="T29" s="39"/>
      <c r="U29" s="38"/>
      <c r="V29" s="39"/>
      <c r="W29" s="38"/>
      <c r="X29" s="41"/>
      <c r="Y29" s="41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 ht="13.5" thickBot="1">
      <c r="A30" s="221"/>
      <c r="B30" s="194" t="str">
        <f>WB</f>
        <v>WB approach</v>
      </c>
      <c r="C30" s="195">
        <v>0</v>
      </c>
      <c r="D30" s="196">
        <v>0</v>
      </c>
      <c r="E30" s="197">
        <v>0</v>
      </c>
      <c r="F30" s="196">
        <v>0</v>
      </c>
      <c r="G30" s="198">
        <f>G12</f>
        <v>0.9</v>
      </c>
      <c r="H30" s="114">
        <f t="shared" si="6"/>
        <v>0</v>
      </c>
      <c r="I30" s="115">
        <f t="shared" si="6"/>
        <v>0</v>
      </c>
      <c r="J30" s="116">
        <f t="shared" si="7"/>
        <v>0</v>
      </c>
      <c r="K30" s="117">
        <f t="shared" si="7"/>
        <v>0</v>
      </c>
      <c r="L30" s="114">
        <f>I29+I27+J27+H27+H28+H29</f>
        <v>0</v>
      </c>
      <c r="M30" s="116">
        <f>SUM(H30:K30)</f>
        <v>0</v>
      </c>
      <c r="N30" s="118">
        <f>J29+K27+I28+H30</f>
        <v>0</v>
      </c>
      <c r="O30" s="25"/>
      <c r="P30" s="39"/>
      <c r="Q30" s="38"/>
      <c r="R30" s="38"/>
      <c r="S30" s="25"/>
      <c r="T30" s="39"/>
      <c r="U30" s="38"/>
      <c r="V30" s="39"/>
      <c r="W30" s="38"/>
      <c r="X30" s="41"/>
      <c r="Y30" s="41"/>
      <c r="Z30" s="42"/>
      <c r="AA30" s="42"/>
      <c r="AB30" s="42"/>
      <c r="AC30" s="42"/>
      <c r="AD30" s="42"/>
      <c r="AE30" s="42"/>
      <c r="AF30" s="42"/>
      <c r="AG30" s="42"/>
      <c r="AH30" s="42"/>
    </row>
    <row r="32" spans="2:19" ht="12.75">
      <c r="B32" t="s">
        <v>63</v>
      </c>
      <c r="P32" s="119"/>
      <c r="Q32" s="120"/>
      <c r="R32" s="120"/>
      <c r="S32" s="21"/>
    </row>
    <row r="36" spans="1:17" ht="16.5" thickBot="1">
      <c r="A36" s="215" t="s">
        <v>98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</row>
    <row r="37" spans="1:17" ht="15.75">
      <c r="A37" s="1"/>
      <c r="B37" s="3"/>
      <c r="C37" s="253" t="s">
        <v>67</v>
      </c>
      <c r="D37" s="254"/>
      <c r="E37" s="254"/>
      <c r="F37" s="254"/>
      <c r="G37" s="254"/>
      <c r="H37" s="254"/>
      <c r="I37" s="254"/>
      <c r="J37" s="255"/>
      <c r="K37" s="256" t="s">
        <v>68</v>
      </c>
      <c r="L37" s="256"/>
      <c r="M37" s="256"/>
      <c r="N37" s="256"/>
      <c r="O37" s="256"/>
      <c r="P37" s="256"/>
      <c r="Q37" s="257"/>
    </row>
    <row r="38" spans="1:17" ht="40.5" customHeight="1">
      <c r="A38" s="174" t="s">
        <v>1</v>
      </c>
      <c r="B38" s="175" t="s">
        <v>0</v>
      </c>
      <c r="C38" s="260" t="s">
        <v>92</v>
      </c>
      <c r="D38" s="261"/>
      <c r="E38" s="176" t="s">
        <v>69</v>
      </c>
      <c r="F38" s="252" t="s">
        <v>93</v>
      </c>
      <c r="G38" s="252"/>
      <c r="H38" s="176" t="s">
        <v>94</v>
      </c>
      <c r="I38" s="252" t="s">
        <v>95</v>
      </c>
      <c r="J38" s="258"/>
      <c r="K38" s="259" t="s">
        <v>96</v>
      </c>
      <c r="L38" s="252"/>
      <c r="M38" s="177" t="s">
        <v>89</v>
      </c>
      <c r="N38" s="252" t="s">
        <v>93</v>
      </c>
      <c r="O38" s="252"/>
      <c r="P38" s="176" t="s">
        <v>94</v>
      </c>
      <c r="Q38" s="178" t="s">
        <v>95</v>
      </c>
    </row>
    <row r="39" spans="1:17" ht="12.75" customHeight="1">
      <c r="A39" s="217" t="str">
        <f>Period1</f>
        <v>yr1 AM</v>
      </c>
      <c r="B39" s="155" t="str">
        <f>NB</f>
        <v>NB approach</v>
      </c>
      <c r="C39" s="232">
        <f>1130*EXP(-0.001*L9)</f>
        <v>1130</v>
      </c>
      <c r="D39" s="202"/>
      <c r="E39" s="150">
        <f>M9/C39</f>
        <v>0</v>
      </c>
      <c r="F39" s="216">
        <f>3600/C39+900*0.25*(E39-1+((E39-1)^2+((3600/C39)*E39)/(450*0.25))^0.5)</f>
        <v>3.185840707964602</v>
      </c>
      <c r="G39" s="216"/>
      <c r="H39" s="151" t="str">
        <f>IF(F39&lt;=10,"A",(IF(F39&lt;=15,"B",(IF(F39&lt;=25,"C",(IF(F39&lt;=35,"D",(IF(F39&lt;=50,"E","F")))))))))</f>
        <v>A</v>
      </c>
      <c r="I39" s="228">
        <f>IF(E39&gt;=1,"*",900*0.25*(E39-1+((1-E39)^2+((3600/C39)*E39)/(150*0.25))^0.5)*C39/3600)</f>
        <v>0</v>
      </c>
      <c r="J39" s="229"/>
      <c r="K39" s="226">
        <f>MAX('2-lane analysis, time period 1'!B12:C12)</f>
        <v>1130</v>
      </c>
      <c r="L39" s="227"/>
      <c r="M39" s="161">
        <f>MAX('2-lane analysis, time period 1'!B14:C14)</f>
        <v>0</v>
      </c>
      <c r="N39" s="216">
        <f>3600/K39+900*0.25*(M39-1+((M39-1)^2+((3600/K39)*M39)/(450*0.25))^0.5)</f>
        <v>3.185840707964602</v>
      </c>
      <c r="O39" s="216"/>
      <c r="P39" s="151" t="str">
        <f>IF(N39&lt;=10,"A",(IF(N39&lt;=15,"B",(IF(N39&lt;=25,"C",(IF(N39&lt;=35,"D",(IF(N39&lt;=50,"E","F")))))))))</f>
        <v>A</v>
      </c>
      <c r="Q39" s="162">
        <f>IF(M39&gt;=1,"*",900*0.25*(M39-1+((1-M39)^2+((3600/K39)*M39)/(150*0.25))^0.5)*K39/3600)</f>
        <v>0</v>
      </c>
    </row>
    <row r="40" spans="1:17" ht="12.75">
      <c r="A40" s="213"/>
      <c r="B40" s="10" t="str">
        <f>SB</f>
        <v>SB approach</v>
      </c>
      <c r="C40" s="232">
        <f>1130*EXP(-0.001*L10)</f>
        <v>1130</v>
      </c>
      <c r="D40" s="202"/>
      <c r="E40" s="150">
        <f>M10/C40</f>
        <v>0</v>
      </c>
      <c r="F40" s="216">
        <f>3600/C40+900*0.25*(E40-1+((E40-1)^2+((3600/C40)*E40)/(450*0.25))^0.5)</f>
        <v>3.185840707964602</v>
      </c>
      <c r="G40" s="216"/>
      <c r="H40" s="151" t="str">
        <f>IF(F40&lt;=10,"A",(IF(F40&lt;=15,"B",(IF(F40&lt;=25,"C",(IF(F40&lt;=35,"D",(IF(F40&lt;=50,"E","F")))))))))</f>
        <v>A</v>
      </c>
      <c r="I40" s="228">
        <f>IF(E40&gt;=1,"*",900*0.25*(E40-1+((1-E40)^2+((3600/C40)*E40)/(150*0.25))^0.5)*C40/3600)</f>
        <v>0</v>
      </c>
      <c r="J40" s="229"/>
      <c r="K40" s="226">
        <f>MAX('2-lane analysis, time period 1'!D12:E12)</f>
        <v>1130</v>
      </c>
      <c r="L40" s="227"/>
      <c r="M40" s="161">
        <f>MAX('2-lane analysis, time period 1'!D14:E14)</f>
        <v>0</v>
      </c>
      <c r="N40" s="216">
        <f>3600/K40+900*0.25*(M40-1+((M40-1)^2+((3600/K40)*M40)/(450*0.25))^0.5)</f>
        <v>3.185840707964602</v>
      </c>
      <c r="O40" s="216"/>
      <c r="P40" s="151" t="str">
        <f>IF(N40&lt;=10,"A",(IF(N40&lt;=15,"B",(IF(N40&lt;=25,"C",(IF(N40&lt;=35,"D",(IF(N40&lt;=50,"E","F")))))))))</f>
        <v>A</v>
      </c>
      <c r="Q40" s="162">
        <f>IF(M40&gt;=1,"*",900*0.25*(M40-1+((1-M40)^2+((3600/K40)*M40)/(150*0.25))^0.5)*K40/3600)</f>
        <v>0</v>
      </c>
    </row>
    <row r="41" spans="1:17" ht="12.75">
      <c r="A41" s="213"/>
      <c r="B41" s="10" t="str">
        <f>EB</f>
        <v>EB approach</v>
      </c>
      <c r="C41" s="232">
        <f>1130*EXP(-0.001*L11)</f>
        <v>1130</v>
      </c>
      <c r="D41" s="202"/>
      <c r="E41" s="150">
        <f>M11/C41</f>
        <v>0</v>
      </c>
      <c r="F41" s="216">
        <f>3600/C41+900*0.25*(E41-1+((E41-1)^2+((3600/C41)*E41)/(450*0.25))^0.5)</f>
        <v>3.185840707964602</v>
      </c>
      <c r="G41" s="216"/>
      <c r="H41" s="151" t="str">
        <f>IF(F41&lt;=10,"A",(IF(F41&lt;=15,"B",(IF(F41&lt;=25,"C",(IF(F41&lt;=35,"D",(IF(F41&lt;=50,"E","F")))))))))</f>
        <v>A</v>
      </c>
      <c r="I41" s="228">
        <f>IF(E41&gt;=1,"*",900*0.25*(E41-1+((1-E41)^2+((3600/C41)*E41)/(150*0.25))^0.5)*C41/3600)</f>
        <v>0</v>
      </c>
      <c r="J41" s="229"/>
      <c r="K41" s="226">
        <f>MAX('2-lane analysis, time period 1'!F12:G12)</f>
        <v>1130</v>
      </c>
      <c r="L41" s="227"/>
      <c r="M41" s="161">
        <f>MAX('2-lane analysis, time period 1'!F14:G14)</f>
        <v>0</v>
      </c>
      <c r="N41" s="216">
        <f>3600/K41+900*0.25*(M41-1+((M41-1)^2+((3600/K41)*M41)/(450*0.25))^0.5)</f>
        <v>3.185840707964602</v>
      </c>
      <c r="O41" s="216"/>
      <c r="P41" s="151" t="str">
        <f>IF(N41&lt;=10,"A",(IF(N41&lt;=15,"B",(IF(N41&lt;=25,"C",(IF(N41&lt;=35,"D",(IF(N41&lt;=50,"E","F")))))))))</f>
        <v>A</v>
      </c>
      <c r="Q41" s="162">
        <f>IF(M41&gt;=1,"*",900*0.25*(M41-1+((1-M41)^2+((3600/K41)*M41)/(150*0.25))^0.5)*K41/3600)</f>
        <v>0</v>
      </c>
    </row>
    <row r="42" spans="1:17" ht="12.75">
      <c r="A42" s="213"/>
      <c r="B42" s="10" t="str">
        <f>WB</f>
        <v>WB approach</v>
      </c>
      <c r="C42" s="232">
        <f>1130*EXP(-0.001*L12)</f>
        <v>1130</v>
      </c>
      <c r="D42" s="202"/>
      <c r="E42" s="150">
        <f>M12/C42</f>
        <v>0</v>
      </c>
      <c r="F42" s="216">
        <f>3600/C42+900*0.25*(E42-1+((E42-1)^2+((3600/C42)*E42)/(450*0.25))^0.5)</f>
        <v>3.185840707964602</v>
      </c>
      <c r="G42" s="216"/>
      <c r="H42" s="151" t="str">
        <f>IF(F42&lt;=10,"A",(IF(F42&lt;=15,"B",(IF(F42&lt;=25,"C",(IF(F42&lt;=35,"D",(IF(F42&lt;=50,"E","F")))))))))</f>
        <v>A</v>
      </c>
      <c r="I42" s="228">
        <f>IF(E42&gt;=1,"*",900*0.25*(E42-1+((1-E42)^2+((3600/C42)*E42)/(150*0.25))^0.5)*C42/3600)</f>
        <v>0</v>
      </c>
      <c r="J42" s="229"/>
      <c r="K42" s="226">
        <f>MAX('2-lane analysis, time period 1'!H12:I12)</f>
        <v>1130</v>
      </c>
      <c r="L42" s="227"/>
      <c r="M42" s="161">
        <f>MAX('2-lane analysis, time period 1'!H14:I14)</f>
        <v>0</v>
      </c>
      <c r="N42" s="216">
        <f>3600/K42+900*0.25*(M42-1+((M42-1)^2+((3600/K42)*M42)/(450*0.25))^0.5)</f>
        <v>3.185840707964602</v>
      </c>
      <c r="O42" s="216"/>
      <c r="P42" s="151" t="str">
        <f>IF(N42&lt;=10,"A",(IF(N42&lt;=15,"B",(IF(N42&lt;=25,"C",(IF(N42&lt;=35,"D",(IF(N42&lt;=50,"E","F")))))))))</f>
        <v>A</v>
      </c>
      <c r="Q42" s="162">
        <f>IF(M42&gt;=1,"*",900*0.25*(M42-1+((1-M42)^2+((3600/K42)*M42)/(150*0.25))^0.5)*K42/3600)</f>
        <v>0</v>
      </c>
    </row>
    <row r="43" spans="1:17" ht="14.25">
      <c r="A43" s="213"/>
      <c r="B43" s="156" t="s">
        <v>71</v>
      </c>
      <c r="C43" s="232"/>
      <c r="D43" s="225"/>
      <c r="E43" s="151"/>
      <c r="F43" s="216" t="e">
        <f>((M9*F39)+(M10*F40)+(M11*F41)+(M12*F42))/(SUM(M9:M12))</f>
        <v>#DIV/0!</v>
      </c>
      <c r="G43" s="216"/>
      <c r="H43" s="211" t="e">
        <f>IF(F43&lt;=10,"A",(IF(F43&lt;=15,"B",(IF(F43&lt;=25,"C",(IF(F43&lt;=35,"D",(IF(F43&lt;=50,"E","F")))))))))</f>
        <v>#DIV/0!</v>
      </c>
      <c r="I43" s="200"/>
      <c r="J43" s="201"/>
      <c r="K43" s="166"/>
      <c r="L43" s="33"/>
      <c r="M43" s="160"/>
      <c r="N43" s="27"/>
      <c r="O43" s="171"/>
      <c r="P43" s="149"/>
      <c r="Q43" s="163"/>
    </row>
    <row r="44" spans="1:17" ht="12.75">
      <c r="A44" s="4"/>
      <c r="B44" s="5"/>
      <c r="C44" s="249"/>
      <c r="D44" s="250"/>
      <c r="E44" s="22"/>
      <c r="F44" s="251"/>
      <c r="G44" s="251"/>
      <c r="H44" s="22"/>
      <c r="I44" s="154"/>
      <c r="J44" s="159"/>
      <c r="K44" s="167"/>
      <c r="L44" s="34"/>
      <c r="M44" s="164"/>
      <c r="N44" s="28"/>
      <c r="O44" s="158"/>
      <c r="P44" s="22"/>
      <c r="Q44" s="51"/>
    </row>
    <row r="45" spans="1:17" ht="12.75">
      <c r="A45" s="4"/>
      <c r="B45" s="10"/>
      <c r="C45" s="249"/>
      <c r="D45" s="250"/>
      <c r="E45" s="22"/>
      <c r="F45" s="251"/>
      <c r="G45" s="251"/>
      <c r="H45" s="22"/>
      <c r="I45" s="154"/>
      <c r="J45" s="159"/>
      <c r="K45" s="167"/>
      <c r="L45" s="34"/>
      <c r="M45" s="164"/>
      <c r="N45" s="28"/>
      <c r="O45" s="158"/>
      <c r="P45" s="22"/>
      <c r="Q45" s="51"/>
    </row>
    <row r="46" spans="1:17" ht="12.75" customHeight="1">
      <c r="A46" s="213" t="str">
        <f>Period2</f>
        <v>yr1 PM</v>
      </c>
      <c r="B46" s="10" t="str">
        <f>NB</f>
        <v>NB approach</v>
      </c>
      <c r="C46" s="232">
        <f>1130*EXP(-0.001*L15)</f>
        <v>1130</v>
      </c>
      <c r="D46" s="202"/>
      <c r="E46" s="150">
        <f>M15/C46</f>
        <v>0</v>
      </c>
      <c r="F46" s="216">
        <f>3600/C46+900*0.25*(E46-1+((E46-1)^2+((3600/C46)*E46)/(450*0.25))^0.5)</f>
        <v>3.185840707964602</v>
      </c>
      <c r="G46" s="216"/>
      <c r="H46" s="151" t="str">
        <f>IF(F46&lt;=10,"A",(IF(F46&lt;=15,"B",(IF(F46&lt;=25,"C",(IF(F46&lt;=35,"D",(IF(F46&lt;=50,"E","F")))))))))</f>
        <v>A</v>
      </c>
      <c r="I46" s="209">
        <f>IF(E46&gt;=1,"*",900*0.25*(E46-1+((1-E46)^2+((3600/C46)*E46)/(150*0.25))^0.5)*C46/3600)</f>
        <v>0</v>
      </c>
      <c r="J46" s="210"/>
      <c r="K46" s="226">
        <f>MAX('2-lane analysis, time period 2'!B12:C12)</f>
        <v>1130</v>
      </c>
      <c r="L46" s="227"/>
      <c r="M46" s="161">
        <f>MAX('2-lane analysis, time period 2'!B14:C14)</f>
        <v>0</v>
      </c>
      <c r="N46" s="222">
        <f>3600/K46+900*0.25*(M46-1+((M46-1)^2+((3600/K46)*M46)/(450*0.25))^0.5)</f>
        <v>3.185840707964602</v>
      </c>
      <c r="O46" s="223"/>
      <c r="P46" s="151" t="str">
        <f>IF(N46&lt;=10,"A",(IF(N46&lt;=15,"B",(IF(N46&lt;=25,"C",(IF(N46&lt;=35,"D",(IF(N46&lt;=50,"E","F")))))))))</f>
        <v>A</v>
      </c>
      <c r="Q46" s="162">
        <f>IF(M46&gt;=1,"*",900*0.25*(M46-1+((1-M46)^2+((3600/K46)*M46)/(150*0.25))^0.5)*K46/3600)</f>
        <v>0</v>
      </c>
    </row>
    <row r="47" spans="1:17" ht="12.75">
      <c r="A47" s="213"/>
      <c r="B47" s="10" t="str">
        <f>SB</f>
        <v>SB approach</v>
      </c>
      <c r="C47" s="232">
        <f>1130*EXP(-0.001*L16)</f>
        <v>1130</v>
      </c>
      <c r="D47" s="202"/>
      <c r="E47" s="150">
        <f>M16/C47</f>
        <v>0</v>
      </c>
      <c r="F47" s="216">
        <f>3600/C47+900*0.25*(E47-1+((E47-1)^2+((3600/C47)*E47)/(450*0.25))^0.5)</f>
        <v>3.185840707964602</v>
      </c>
      <c r="G47" s="216"/>
      <c r="H47" s="151" t="str">
        <f>IF(F47&lt;=10,"A",(IF(F47&lt;=15,"B",(IF(F47&lt;=25,"C",(IF(F47&lt;=35,"D",(IF(F47&lt;=50,"E","F")))))))))</f>
        <v>A</v>
      </c>
      <c r="I47" s="209">
        <f>IF(E47&gt;=1,"*",900*0.25*(E47-1+((1-E47)^2+((3600/C47)*E47)/(150*0.25))^0.5)*C47/3600)</f>
        <v>0</v>
      </c>
      <c r="J47" s="210"/>
      <c r="K47" s="226">
        <f>MAX('2-lane analysis, time period 2'!D12:E12)</f>
        <v>1130</v>
      </c>
      <c r="L47" s="227"/>
      <c r="M47" s="161">
        <f>MAX('2-lane analysis, time period 2'!D14:E14)</f>
        <v>0</v>
      </c>
      <c r="N47" s="222">
        <f>3600/K47+900*0.25*(M47-1+((M47-1)^2+((3600/K47)*M47)/(450*0.25))^0.5)</f>
        <v>3.185840707964602</v>
      </c>
      <c r="O47" s="223"/>
      <c r="P47" s="151" t="str">
        <f>IF(N47&lt;=10,"A",(IF(N47&lt;=15,"B",(IF(N47&lt;=25,"C",(IF(N47&lt;=35,"D",(IF(N47&lt;=50,"E","F")))))))))</f>
        <v>A</v>
      </c>
      <c r="Q47" s="162">
        <f>IF(M47&gt;=1,"*",900*0.25*(M47-1+((1-M47)^2+((3600/K47)*M47)/(150*0.25))^0.5)*K47/3600)</f>
        <v>0</v>
      </c>
    </row>
    <row r="48" spans="1:17" ht="12.75">
      <c r="A48" s="213"/>
      <c r="B48" s="10" t="str">
        <f>EB</f>
        <v>EB approach</v>
      </c>
      <c r="C48" s="232">
        <f>1130*EXP(-0.001*L17)</f>
        <v>1130</v>
      </c>
      <c r="D48" s="202"/>
      <c r="E48" s="150">
        <f>M17/C48</f>
        <v>0</v>
      </c>
      <c r="F48" s="216">
        <f>3600/C48+900*0.25*(E48-1+((E48-1)^2+((3600/C48)*E48)/(450*0.25))^0.5)</f>
        <v>3.185840707964602</v>
      </c>
      <c r="G48" s="216"/>
      <c r="H48" s="151" t="str">
        <f>IF(F48&lt;=10,"A",(IF(F48&lt;=15,"B",(IF(F48&lt;=25,"C",(IF(F48&lt;=35,"D",(IF(F48&lt;=50,"E","F")))))))))</f>
        <v>A</v>
      </c>
      <c r="I48" s="209">
        <f>IF(E48&gt;=1,"*",900*0.25*(E48-1+((1-E48)^2+((3600/C48)*E48)/(150*0.25))^0.5)*C48/3600)</f>
        <v>0</v>
      </c>
      <c r="J48" s="210"/>
      <c r="K48" s="226">
        <f>MAX('2-lane analysis, time period 3'!F12:G12)</f>
        <v>1130</v>
      </c>
      <c r="L48" s="227"/>
      <c r="M48" s="161">
        <f>MAX('2-lane analysis, time period 2'!F14:G14)</f>
        <v>0</v>
      </c>
      <c r="N48" s="222">
        <f>3600/K48+900*0.25*(M48-1+((M48-1)^2+((3600/K48)*M48)/(450*0.25))^0.5)</f>
        <v>3.185840707964602</v>
      </c>
      <c r="O48" s="223"/>
      <c r="P48" s="151" t="str">
        <f>IF(N48&lt;=10,"A",(IF(N48&lt;=15,"B",(IF(N48&lt;=25,"C",(IF(N48&lt;=35,"D",(IF(N48&lt;=50,"E","F")))))))))</f>
        <v>A</v>
      </c>
      <c r="Q48" s="162">
        <f>IF(M48&gt;=1,"*",900*0.25*(M48-1+((1-M48)^2+((3600/K48)*M48)/(150*0.25))^0.5)*K48/3600)</f>
        <v>0</v>
      </c>
    </row>
    <row r="49" spans="1:17" ht="12.75">
      <c r="A49" s="213"/>
      <c r="B49" s="10" t="str">
        <f>WB</f>
        <v>WB approach</v>
      </c>
      <c r="C49" s="232">
        <f>1130*EXP(-0.001*L18)</f>
        <v>1130</v>
      </c>
      <c r="D49" s="202"/>
      <c r="E49" s="150">
        <f>M18/C49</f>
        <v>0</v>
      </c>
      <c r="F49" s="216">
        <f>3600/C49+900*0.25*(E49-1+((E49-1)^2+((3600/C49)*E49)/(450*0.25))^0.5)</f>
        <v>3.185840707964602</v>
      </c>
      <c r="G49" s="216"/>
      <c r="H49" s="151" t="str">
        <f>IF(F49&lt;=10,"A",(IF(F49&lt;=15,"B",(IF(F49&lt;=25,"C",(IF(F49&lt;=35,"D",(IF(F49&lt;=50,"E","F")))))))))</f>
        <v>A</v>
      </c>
      <c r="I49" s="209">
        <f>IF(E49&gt;=1,"*",900*0.25*(E49-1+((1-E49)^2+((3600/C49)*E49)/(150*0.25))^0.5)*C49/3600)</f>
        <v>0</v>
      </c>
      <c r="J49" s="210"/>
      <c r="K49" s="226">
        <f>MAX('2-lane analysis, time period 2'!H12:I12)</f>
        <v>1130</v>
      </c>
      <c r="L49" s="227"/>
      <c r="M49" s="161">
        <f>MAX('2-lane analysis, time period 2'!H14:I14)</f>
        <v>0</v>
      </c>
      <c r="N49" s="222">
        <f>3600/K49+900*0.25*(M49-1+((M49-1)^2+((3600/K49)*M49)/(450*0.25))^0.5)</f>
        <v>3.185840707964602</v>
      </c>
      <c r="O49" s="223"/>
      <c r="P49" s="151" t="str">
        <f>IF(N49&lt;=10,"A",(IF(N49&lt;=15,"B",(IF(N49&lt;=25,"C",(IF(N49&lt;=35,"D",(IF(N49&lt;=50,"E","F")))))))))</f>
        <v>A</v>
      </c>
      <c r="Q49" s="162">
        <f>IF(M49&gt;=1,"*",900*0.25*(M49-1+((1-M49)^2+((3600/K49)*M49)/(150*0.25))^0.5)*K49/3600)</f>
        <v>0</v>
      </c>
    </row>
    <row r="50" spans="1:17" ht="14.25">
      <c r="A50" s="213"/>
      <c r="B50" s="156" t="s">
        <v>71</v>
      </c>
      <c r="C50" s="232"/>
      <c r="D50" s="225"/>
      <c r="E50" s="151"/>
      <c r="F50" s="216" t="e">
        <f>((M15*F46)+(M16*F47)+(M17*F48)+(M18*F49))/(SUM(M15:M18))</f>
        <v>#DIV/0!</v>
      </c>
      <c r="G50" s="216"/>
      <c r="H50" s="211" t="e">
        <f>IF(F50&lt;=10,"A",(IF(F50&lt;=15,"B",(IF(F50&lt;=25,"C",(IF(F50&lt;=35,"D",(IF(F50&lt;=50,"E","F")))))))))</f>
        <v>#DIV/0!</v>
      </c>
      <c r="I50" s="207"/>
      <c r="J50" s="208"/>
      <c r="K50" s="166"/>
      <c r="L50" s="33"/>
      <c r="M50" s="160"/>
      <c r="N50" s="27"/>
      <c r="O50" s="171"/>
      <c r="P50" s="149"/>
      <c r="Q50" s="163"/>
    </row>
    <row r="51" spans="1:17" ht="12.75">
      <c r="A51" s="4"/>
      <c r="B51" s="5"/>
      <c r="C51" s="249"/>
      <c r="D51" s="250"/>
      <c r="E51" s="22"/>
      <c r="F51" s="251"/>
      <c r="G51" s="251"/>
      <c r="H51" s="22"/>
      <c r="I51" s="154"/>
      <c r="J51" s="159"/>
      <c r="K51" s="167"/>
      <c r="L51" s="34"/>
      <c r="M51" s="164"/>
      <c r="N51" s="28"/>
      <c r="O51" s="158"/>
      <c r="P51" s="22"/>
      <c r="Q51" s="51"/>
    </row>
    <row r="52" spans="1:17" ht="12.75">
      <c r="A52" s="4"/>
      <c r="B52" s="5"/>
      <c r="C52" s="249"/>
      <c r="D52" s="250"/>
      <c r="E52" s="22"/>
      <c r="F52" s="251"/>
      <c r="G52" s="251"/>
      <c r="H52" s="22"/>
      <c r="I52" s="154"/>
      <c r="J52" s="159"/>
      <c r="K52" s="167"/>
      <c r="L52" s="34"/>
      <c r="M52" s="164"/>
      <c r="N52" s="28"/>
      <c r="O52" s="158"/>
      <c r="P52" s="22"/>
      <c r="Q52" s="51"/>
    </row>
    <row r="53" spans="1:17" ht="12.75" customHeight="1">
      <c r="A53" s="213" t="str">
        <f>Period3</f>
        <v>yr2 AM</v>
      </c>
      <c r="B53" s="10" t="str">
        <f>NB</f>
        <v>NB approach</v>
      </c>
      <c r="C53" s="232">
        <f>1130*EXP(-0.001*L21)</f>
        <v>1130</v>
      </c>
      <c r="D53" s="202"/>
      <c r="E53" s="150">
        <f>M21/C53</f>
        <v>0</v>
      </c>
      <c r="F53" s="216">
        <f>3600/C53+900*0.25*(E53-1+((E53-1)^2+((3600/C53)*E53)/(450*0.25))^0.5)</f>
        <v>3.185840707964602</v>
      </c>
      <c r="G53" s="216"/>
      <c r="H53" s="151" t="str">
        <f>IF(F53&lt;=10,"A",(IF(F53&lt;=15,"B",(IF(F53&lt;=25,"C",(IF(F53&lt;=35,"D",(IF(F53&lt;=50,"E","F")))))))))</f>
        <v>A</v>
      </c>
      <c r="I53" s="228">
        <f>IF(E53&gt;=1,"*",900*0.25*(E53-1+((1-E53)^2+((3600/C53)*E53)/(150*0.25))^0.5)*C53/3600)</f>
        <v>0</v>
      </c>
      <c r="J53" s="229"/>
      <c r="K53" s="226">
        <f>MAX('2-lane analysis, time period 3'!B12:C12)</f>
        <v>1130</v>
      </c>
      <c r="L53" s="227"/>
      <c r="M53" s="161">
        <f>MAX('2-lane analysis, time period 3'!B14:C14)</f>
        <v>0</v>
      </c>
      <c r="N53" s="222">
        <f>3600/K53+900*0.25*(M53-1+((M53-1)^2+((3600/K53)*M53)/(450*0.25))^0.5)</f>
        <v>3.185840707964602</v>
      </c>
      <c r="O53" s="223"/>
      <c r="P53" s="151" t="str">
        <f>IF(N53&lt;=10,"A",(IF(N53&lt;=15,"B",(IF(N53&lt;=25,"C",(IF(N53&lt;=35,"D",(IF(N53&lt;=50,"E","F")))))))))</f>
        <v>A</v>
      </c>
      <c r="Q53" s="162">
        <f>IF(M53&gt;=1,"*",900*0.25*(M53-1+((1-M53)^2+((3600/K53)*M53)/(150*0.25))^0.5)*K53/3600)</f>
        <v>0</v>
      </c>
    </row>
    <row r="54" spans="1:17" ht="12.75">
      <c r="A54" s="213"/>
      <c r="B54" s="10" t="str">
        <f>SB</f>
        <v>SB approach</v>
      </c>
      <c r="C54" s="232">
        <f>1130*EXP(-0.001*L22)</f>
        <v>1130</v>
      </c>
      <c r="D54" s="202"/>
      <c r="E54" s="150">
        <f>M22/C54</f>
        <v>0</v>
      </c>
      <c r="F54" s="216">
        <f>3600/C54+900*0.25*(E54-1+((E54-1)^2+((3600/C54)*E54)/(450*0.25))^0.5)</f>
        <v>3.185840707964602</v>
      </c>
      <c r="G54" s="216"/>
      <c r="H54" s="151" t="str">
        <f>IF(F54&lt;=10,"A",(IF(F54&lt;=15,"B",(IF(F54&lt;=25,"C",(IF(F54&lt;=35,"D",(IF(F54&lt;=50,"E","F")))))))))</f>
        <v>A</v>
      </c>
      <c r="I54" s="228">
        <f>IF(E54&gt;=1,"*",900*0.25*(E54-1+((1-E54)^2+((3600/C54)*E54)/(150*0.25))^0.5)*C54/3600)</f>
        <v>0</v>
      </c>
      <c r="J54" s="229"/>
      <c r="K54" s="226">
        <f>MAX('2-lane analysis, time period 3'!D12:E12)</f>
        <v>1130</v>
      </c>
      <c r="L54" s="227"/>
      <c r="M54" s="161">
        <f>MAX('2-lane analysis, time period 3'!D14:E14)</f>
        <v>0</v>
      </c>
      <c r="N54" s="222">
        <f>3600/K54+900*0.25*(M54-1+((M54-1)^2+((3600/K54)*M54)/(450*0.25))^0.5)</f>
        <v>3.185840707964602</v>
      </c>
      <c r="O54" s="223"/>
      <c r="P54" s="151" t="str">
        <f>IF(N54&lt;=10,"A",(IF(N54&lt;=15,"B",(IF(N54&lt;=25,"C",(IF(N54&lt;=35,"D",(IF(N54&lt;=50,"E","F")))))))))</f>
        <v>A</v>
      </c>
      <c r="Q54" s="162">
        <f>IF(M54&gt;=1,"*",900*0.25*(M54-1+((1-M54)^2+((3600/K54)*M54)/(150*0.25))^0.5)*K54/3600)</f>
        <v>0</v>
      </c>
    </row>
    <row r="55" spans="1:17" ht="12.75">
      <c r="A55" s="213"/>
      <c r="B55" s="10" t="str">
        <f>EB</f>
        <v>EB approach</v>
      </c>
      <c r="C55" s="232">
        <f>1130*EXP(-0.001*L23)</f>
        <v>1130</v>
      </c>
      <c r="D55" s="202"/>
      <c r="E55" s="150">
        <f>M23/C55</f>
        <v>0</v>
      </c>
      <c r="F55" s="216">
        <f>3600/C55+900*0.25*(E55-1+((E55-1)^2+((3600/C55)*E55)/(450*0.25))^0.5)</f>
        <v>3.185840707964602</v>
      </c>
      <c r="G55" s="216"/>
      <c r="H55" s="151" t="str">
        <f>IF(F55&lt;=10,"A",(IF(F55&lt;=15,"B",(IF(F55&lt;=25,"C",(IF(F55&lt;=35,"D",(IF(F55&lt;=50,"E","F")))))))))</f>
        <v>A</v>
      </c>
      <c r="I55" s="228">
        <f>IF(E55&gt;=1,"*",900*0.25*(E55-1+((1-E55)^2+((3600/C55)*E55)/(150*0.25))^0.5)*C55/3600)</f>
        <v>0</v>
      </c>
      <c r="J55" s="229"/>
      <c r="K55" s="226">
        <f>MAX('2-lane analysis, time period 3'!F12:G12)</f>
        <v>1130</v>
      </c>
      <c r="L55" s="227"/>
      <c r="M55" s="161">
        <f>MAX('2-lane analysis, time period 3'!F14:G14)</f>
        <v>0</v>
      </c>
      <c r="N55" s="222">
        <f>3600/K55+900*0.25*(M55-1+((M55-1)^2+((3600/K55)*M55)/(450*0.25))^0.5)</f>
        <v>3.185840707964602</v>
      </c>
      <c r="O55" s="223"/>
      <c r="P55" s="151" t="str">
        <f>IF(N55&lt;=10,"A",(IF(N55&lt;=15,"B",(IF(N55&lt;=25,"C",(IF(N55&lt;=35,"D",(IF(N55&lt;=50,"E","F")))))))))</f>
        <v>A</v>
      </c>
      <c r="Q55" s="162">
        <f>IF(M55&gt;=1,"*",900*0.25*(M55-1+((1-M55)^2+((3600/K55)*M55)/(150*0.25))^0.5)*K55/3600)</f>
        <v>0</v>
      </c>
    </row>
    <row r="56" spans="1:17" ht="12.75">
      <c r="A56" s="213"/>
      <c r="B56" s="10" t="str">
        <f>WB</f>
        <v>WB approach</v>
      </c>
      <c r="C56" s="232">
        <f>1130*EXP(-0.001*L24)</f>
        <v>1130</v>
      </c>
      <c r="D56" s="202"/>
      <c r="E56" s="150">
        <f>M24/C56</f>
        <v>0</v>
      </c>
      <c r="F56" s="216">
        <f>3600/C56+900*0.25*(E56-1+((E56-1)^2+((3600/C56)*E56)/(450*0.25))^0.5)</f>
        <v>3.185840707964602</v>
      </c>
      <c r="G56" s="216"/>
      <c r="H56" s="151" t="str">
        <f>IF(F56&lt;=10,"A",(IF(F56&lt;=15,"B",(IF(F56&lt;=25,"C",(IF(F56&lt;=35,"D",(IF(F56&lt;=50,"E","F")))))))))</f>
        <v>A</v>
      </c>
      <c r="I56" s="228">
        <f>IF(E56&gt;=1,"*",900*0.25*(E56-1+((1-E56)^2+((3600/C56)*E56)/(150*0.25))^0.5)*C56/3600)</f>
        <v>0</v>
      </c>
      <c r="J56" s="229"/>
      <c r="K56" s="226">
        <f>MAX('2-lane analysis, time period 3'!H12:I12)</f>
        <v>1130</v>
      </c>
      <c r="L56" s="227"/>
      <c r="M56" s="161">
        <f>MAX('2-lane analysis, time period 3'!H14:I14)</f>
        <v>0</v>
      </c>
      <c r="N56" s="222">
        <f>3600/K56+900*0.25*(M56-1+((M56-1)^2+((3600/K56)*M56)/(450*0.25))^0.5)</f>
        <v>3.185840707964602</v>
      </c>
      <c r="O56" s="223"/>
      <c r="P56" s="151" t="str">
        <f>IF(N56&lt;=10,"A",(IF(N56&lt;=15,"B",(IF(N56&lt;=25,"C",(IF(N56&lt;=35,"D",(IF(N56&lt;=50,"E","F")))))))))</f>
        <v>A</v>
      </c>
      <c r="Q56" s="162">
        <f>IF(M56&gt;=1,"*",900*0.25*(M56-1+((1-M56)^2+((3600/K56)*M56)/(150*0.25))^0.5)*K56/3600)</f>
        <v>0</v>
      </c>
    </row>
    <row r="57" spans="1:17" ht="14.25">
      <c r="A57" s="213"/>
      <c r="B57" s="156" t="s">
        <v>71</v>
      </c>
      <c r="C57" s="232"/>
      <c r="D57" s="225"/>
      <c r="E57" s="151"/>
      <c r="F57" s="216" t="e">
        <f>((M21*F53)+(M22*F54)+(M23*F55)+(M24*F56))/(SUM(M21:M24))</f>
        <v>#DIV/0!</v>
      </c>
      <c r="G57" s="216"/>
      <c r="H57" s="211" t="e">
        <f>IF(F57&lt;=10,"A",(IF(F57&lt;=15,"B",(IF(F57&lt;=25,"C",(IF(F57&lt;=35,"D",(IF(F57&lt;=50,"E","F")))))))))</f>
        <v>#DIV/0!</v>
      </c>
      <c r="I57" s="200"/>
      <c r="J57" s="201"/>
      <c r="K57" s="166"/>
      <c r="L57" s="33"/>
      <c r="M57" s="160"/>
      <c r="N57" s="27"/>
      <c r="O57" s="171"/>
      <c r="P57" s="149"/>
      <c r="Q57" s="163"/>
    </row>
    <row r="58" spans="1:17" ht="12.75">
      <c r="A58" s="4"/>
      <c r="B58" s="5"/>
      <c r="C58" s="249"/>
      <c r="D58" s="250"/>
      <c r="E58" s="22"/>
      <c r="F58" s="251"/>
      <c r="G58" s="251"/>
      <c r="H58" s="22"/>
      <c r="I58" s="154"/>
      <c r="J58" s="159"/>
      <c r="K58" s="168"/>
      <c r="L58" s="35"/>
      <c r="M58" s="152"/>
      <c r="N58" s="29"/>
      <c r="O58" s="158"/>
      <c r="P58" s="22"/>
      <c r="Q58" s="51"/>
    </row>
    <row r="59" spans="1:17" ht="12.75">
      <c r="A59" s="4"/>
      <c r="B59" s="5"/>
      <c r="C59" s="249"/>
      <c r="D59" s="250"/>
      <c r="E59" s="22"/>
      <c r="F59" s="251"/>
      <c r="G59" s="251"/>
      <c r="H59" s="22"/>
      <c r="I59" s="154"/>
      <c r="J59" s="159"/>
      <c r="K59" s="168"/>
      <c r="L59" s="35"/>
      <c r="M59" s="152"/>
      <c r="N59" s="29"/>
      <c r="O59" s="158"/>
      <c r="P59" s="22"/>
      <c r="Q59" s="51"/>
    </row>
    <row r="60" spans="1:17" ht="12.75" customHeight="1">
      <c r="A60" s="213" t="str">
        <f>Period4</f>
        <v>yr2 PM</v>
      </c>
      <c r="B60" s="10" t="str">
        <f>NB</f>
        <v>NB approach</v>
      </c>
      <c r="C60" s="232">
        <f>1130*EXP(-0.001*L27)</f>
        <v>1130</v>
      </c>
      <c r="D60" s="202"/>
      <c r="E60" s="150">
        <f>M27/C60</f>
        <v>0</v>
      </c>
      <c r="F60" s="216">
        <f>3600/C60+900*0.25*(E60-1+((E60-1)^2+((3600/C60)*E60)/(450*0.25))^0.5)</f>
        <v>3.185840707964602</v>
      </c>
      <c r="G60" s="216"/>
      <c r="H60" s="151" t="str">
        <f>IF(F60&lt;=10,"A",(IF(F60&lt;=15,"B",(IF(F60&lt;=25,"C",(IF(F60&lt;=35,"D",(IF(F60&lt;=50,"E","F")))))))))</f>
        <v>A</v>
      </c>
      <c r="I60" s="228">
        <f>IF(E60&gt;=1,"*",900*0.25*(E60-1+((1-E60)^2+((3600/C60)*E60)/(150*0.25))^0.5)*C60/3600)</f>
        <v>0</v>
      </c>
      <c r="J60" s="229"/>
      <c r="K60" s="224">
        <f>MAX('2-lane analysis, time period 4'!B12:C12)</f>
        <v>1130</v>
      </c>
      <c r="L60" s="225"/>
      <c r="M60" s="161">
        <f>MAX('2-lane analysis, time period 4'!B14:C14)</f>
        <v>0</v>
      </c>
      <c r="N60" s="222">
        <f>3600/K60+900*0.25*(M60-1+((M60-1)^2+((3600/K60)*M60)/(450*0.25))^0.5)</f>
        <v>3.185840707964602</v>
      </c>
      <c r="O60" s="223"/>
      <c r="P60" s="151" t="str">
        <f>IF(N60&lt;=10,"A",(IF(N60&lt;=15,"B",(IF(N60&lt;=25,"C",(IF(N60&lt;=35,"D",(IF(N60&lt;=50,"E","F")))))))))</f>
        <v>A</v>
      </c>
      <c r="Q60" s="162">
        <f>IF(M60&gt;=1,"*",900*0.25*(M60-1+((1-M60)^2+((3600/K60)*M60)/(150*0.25))^0.5)*K60/3600)</f>
        <v>0</v>
      </c>
    </row>
    <row r="61" spans="1:17" ht="12.75">
      <c r="A61" s="213"/>
      <c r="B61" s="10" t="str">
        <f>SB</f>
        <v>SB approach</v>
      </c>
      <c r="C61" s="232">
        <f>1130*EXP(-0.001*L28)</f>
        <v>1130</v>
      </c>
      <c r="D61" s="202"/>
      <c r="E61" s="150">
        <f>M28/C61</f>
        <v>0</v>
      </c>
      <c r="F61" s="216">
        <f>3600/C61+900*0.25*(E61-1+((E61-1)^2+((3600/C61)*E61)/(450*0.25))^0.5)</f>
        <v>3.185840707964602</v>
      </c>
      <c r="G61" s="216"/>
      <c r="H61" s="151" t="str">
        <f>IF(F61&lt;=10,"A",(IF(F61&lt;=15,"B",(IF(F61&lt;=25,"C",(IF(F61&lt;=35,"D",(IF(F61&lt;=50,"E","F")))))))))</f>
        <v>A</v>
      </c>
      <c r="I61" s="228">
        <f>IF(E61&gt;=1,"*",900*0.25*(E61-1+((1-E61)^2+((3600/C61)*E61)/(150*0.25))^0.5)*C61/3600)</f>
        <v>0</v>
      </c>
      <c r="J61" s="229"/>
      <c r="K61" s="224">
        <f>MAX('2-lane analysis, time period 4'!D12:E12)</f>
        <v>1130</v>
      </c>
      <c r="L61" s="225"/>
      <c r="M61" s="161">
        <f>MAX('2-lane analysis, time period 4'!D14:E14)</f>
        <v>0</v>
      </c>
      <c r="N61" s="222">
        <f>3600/K61+900*0.25*(M61-1+((M61-1)^2+((3600/K61)*M61)/(450*0.25))^0.5)</f>
        <v>3.185840707964602</v>
      </c>
      <c r="O61" s="223"/>
      <c r="P61" s="151" t="str">
        <f>IF(N61&lt;=10,"A",(IF(N61&lt;=15,"B",(IF(N61&lt;=25,"C",(IF(N61&lt;=35,"D",(IF(N61&lt;=50,"E","F")))))))))</f>
        <v>A</v>
      </c>
      <c r="Q61" s="162">
        <f>IF(M61&gt;=1,"*",900*0.25*(M61-1+((1-M61)^2+((3600/K61)*M61)/(150*0.25))^0.5)*K61/3600)</f>
        <v>0</v>
      </c>
    </row>
    <row r="62" spans="1:17" ht="12.75">
      <c r="A62" s="213"/>
      <c r="B62" s="10" t="str">
        <f>EB</f>
        <v>EB approach</v>
      </c>
      <c r="C62" s="232">
        <f>1130*EXP(-0.001*L29)</f>
        <v>1130</v>
      </c>
      <c r="D62" s="202"/>
      <c r="E62" s="150">
        <f>M29/C62</f>
        <v>0</v>
      </c>
      <c r="F62" s="216">
        <f>3600/C62+900*0.25*(E62-1+((E62-1)^2+((3600/C62)*E62)/(450*0.25))^0.5)</f>
        <v>3.185840707964602</v>
      </c>
      <c r="G62" s="216"/>
      <c r="H62" s="151" t="str">
        <f>IF(F62&lt;=10,"A",(IF(F62&lt;=15,"B",(IF(F62&lt;=25,"C",(IF(F62&lt;=35,"D",(IF(F62&lt;=50,"E","F")))))))))</f>
        <v>A</v>
      </c>
      <c r="I62" s="228">
        <f>IF(E62&gt;=1,"*",900*0.25*(E62-1+((1-E62)^2+((3600/C62)*E62)/(150*0.25))^0.5)*C62/3600)</f>
        <v>0</v>
      </c>
      <c r="J62" s="229"/>
      <c r="K62" s="224">
        <f>MAX('2-lane analysis, time period 4'!F12:G12)</f>
        <v>1130</v>
      </c>
      <c r="L62" s="225"/>
      <c r="M62" s="161">
        <f>MAX('2-lane analysis, time period 4'!F14:G14)</f>
        <v>0</v>
      </c>
      <c r="N62" s="222">
        <f>3600/K62+900*0.25*(M62-1+((M62-1)^2+((3600/K62)*M62)/(450*0.25))^0.5)</f>
        <v>3.185840707964602</v>
      </c>
      <c r="O62" s="223"/>
      <c r="P62" s="151" t="str">
        <f>IF(N62&lt;=10,"A",(IF(N62&lt;=15,"B",(IF(N62&lt;=25,"C",(IF(N62&lt;=35,"D",(IF(N62&lt;=50,"E","F")))))))))</f>
        <v>A</v>
      </c>
      <c r="Q62" s="162">
        <f>IF(M62&gt;=1,"*",900*0.25*(M62-1+((1-M62)^2+((3600/K62)*M62)/(150*0.25))^0.5)*K62/3600)</f>
        <v>0</v>
      </c>
    </row>
    <row r="63" spans="1:17" ht="12.75">
      <c r="A63" s="213"/>
      <c r="B63" s="10" t="str">
        <f>WB</f>
        <v>WB approach</v>
      </c>
      <c r="C63" s="232">
        <f>1130*EXP(-0.001*L30)</f>
        <v>1130</v>
      </c>
      <c r="D63" s="202"/>
      <c r="E63" s="150">
        <f>M30/C63</f>
        <v>0</v>
      </c>
      <c r="F63" s="216">
        <f>3600/C63+900*0.25*(E63-1+((E63-1)^2+((3600/C63)*E63)/(450*0.25))^0.5)</f>
        <v>3.185840707964602</v>
      </c>
      <c r="G63" s="216"/>
      <c r="H63" s="151" t="str">
        <f>IF(F63&lt;=10,"A",(IF(F63&lt;=15,"B",(IF(F63&lt;=25,"C",(IF(F63&lt;=35,"D",(IF(F63&lt;=50,"E","F")))))))))</f>
        <v>A</v>
      </c>
      <c r="I63" s="228">
        <f>IF(E63&gt;=1,"*",900*0.25*(E63-1+((1-E63)^2+((3600/C63)*E63)/(150*0.25))^0.5)*C63/3600)</f>
        <v>0</v>
      </c>
      <c r="J63" s="229"/>
      <c r="K63" s="224">
        <f>MAX('2-lane analysis, time period 4'!H12:I12)</f>
        <v>1130</v>
      </c>
      <c r="L63" s="225"/>
      <c r="M63" s="161">
        <f>MAX('2-lane analysis, time period 4'!H14:I14)</f>
        <v>0</v>
      </c>
      <c r="N63" s="222">
        <f>3600/K63+900*0.25*(M63-1+((M63-1)^2+((3600/K63)*M63)/(450*0.25))^0.5)</f>
        <v>3.185840707964602</v>
      </c>
      <c r="O63" s="223"/>
      <c r="P63" s="151" t="str">
        <f>IF(N63&lt;=10,"A",(IF(N63&lt;=15,"B",(IF(N63&lt;=25,"C",(IF(N63&lt;=35,"D",(IF(N63&lt;=50,"E","F")))))))))</f>
        <v>A</v>
      </c>
      <c r="Q63" s="162">
        <f>IF(M63&gt;=1,"*",900*0.25*(M63-1+((1-M63)^2+((3600/K63)*M63)/(150*0.25))^0.5)*K63/3600)</f>
        <v>0</v>
      </c>
    </row>
    <row r="64" spans="1:17" ht="15" thickBot="1">
      <c r="A64" s="214"/>
      <c r="B64" s="157" t="s">
        <v>71</v>
      </c>
      <c r="C64" s="205"/>
      <c r="D64" s="230"/>
      <c r="E64" s="153"/>
      <c r="F64" s="206" t="e">
        <f>((M27*F60)+(M28*F61)+(M29*F62)+(M30*F63))/(SUM(M27:M30))</f>
        <v>#DIV/0!</v>
      </c>
      <c r="G64" s="206"/>
      <c r="H64" s="212" t="e">
        <f>IF(F64&lt;=10,"A",(IF(F64&lt;=15,"B",(IF(F64&lt;=25,"C",(IF(F64&lt;=35,"D",(IF(F64&lt;=50,"E","F")))))))))</f>
        <v>#DIV/0!</v>
      </c>
      <c r="I64" s="230"/>
      <c r="J64" s="231"/>
      <c r="K64" s="169"/>
      <c r="L64" s="170"/>
      <c r="M64" s="153"/>
      <c r="N64" s="172"/>
      <c r="O64" s="170"/>
      <c r="P64" s="153"/>
      <c r="Q64" s="165"/>
    </row>
    <row r="66" ht="12.75">
      <c r="A66" s="173" t="s">
        <v>72</v>
      </c>
    </row>
    <row r="67" ht="12.75">
      <c r="A67" t="s">
        <v>84</v>
      </c>
    </row>
    <row r="68" ht="12.75">
      <c r="A68" t="s">
        <v>88</v>
      </c>
    </row>
    <row r="69" ht="12.75">
      <c r="A69" t="s">
        <v>86</v>
      </c>
    </row>
    <row r="70" ht="12.75">
      <c r="A70" t="s">
        <v>87</v>
      </c>
    </row>
    <row r="71" ht="12.75">
      <c r="A71" t="s">
        <v>73</v>
      </c>
    </row>
    <row r="72" ht="12.75">
      <c r="A72" t="s">
        <v>85</v>
      </c>
    </row>
  </sheetData>
  <mergeCells count="152">
    <mergeCell ref="N38:O38"/>
    <mergeCell ref="C37:J37"/>
    <mergeCell ref="K37:Q37"/>
    <mergeCell ref="I38:J38"/>
    <mergeCell ref="K38:L38"/>
    <mergeCell ref="C38:D38"/>
    <mergeCell ref="F38:G38"/>
    <mergeCell ref="F63:G63"/>
    <mergeCell ref="F58:G58"/>
    <mergeCell ref="F59:G59"/>
    <mergeCell ref="F60:G60"/>
    <mergeCell ref="F61:G61"/>
    <mergeCell ref="F54:G54"/>
    <mergeCell ref="F55:G55"/>
    <mergeCell ref="F56:G56"/>
    <mergeCell ref="F62:G62"/>
    <mergeCell ref="F49:G49"/>
    <mergeCell ref="F51:G51"/>
    <mergeCell ref="F52:G52"/>
    <mergeCell ref="F53:G53"/>
    <mergeCell ref="C63:D63"/>
    <mergeCell ref="F39:G39"/>
    <mergeCell ref="F40:G40"/>
    <mergeCell ref="F41:G41"/>
    <mergeCell ref="F42:G42"/>
    <mergeCell ref="F44:G44"/>
    <mergeCell ref="F45:G45"/>
    <mergeCell ref="F46:G46"/>
    <mergeCell ref="F47:G47"/>
    <mergeCell ref="F48:G48"/>
    <mergeCell ref="C59:D59"/>
    <mergeCell ref="C60:D60"/>
    <mergeCell ref="C61:D61"/>
    <mergeCell ref="C62:D62"/>
    <mergeCell ref="C54:D54"/>
    <mergeCell ref="C55:D55"/>
    <mergeCell ref="C56:D56"/>
    <mergeCell ref="C58:D58"/>
    <mergeCell ref="C49:D49"/>
    <mergeCell ref="C51:D51"/>
    <mergeCell ref="C52:D52"/>
    <mergeCell ref="C53:D53"/>
    <mergeCell ref="C47:D47"/>
    <mergeCell ref="C48:D48"/>
    <mergeCell ref="C44:D44"/>
    <mergeCell ref="C45:D45"/>
    <mergeCell ref="AD7:AD8"/>
    <mergeCell ref="Y7:Y8"/>
    <mergeCell ref="Z7:Z8"/>
    <mergeCell ref="AA7:AA8"/>
    <mergeCell ref="W7:W8"/>
    <mergeCell ref="U7:U8"/>
    <mergeCell ref="P7:P8"/>
    <mergeCell ref="H7:K7"/>
    <mergeCell ref="R7:R8"/>
    <mergeCell ref="O7:O8"/>
    <mergeCell ref="Q7:Q8"/>
    <mergeCell ref="S7:S8"/>
    <mergeCell ref="L7:N7"/>
    <mergeCell ref="T7:T8"/>
    <mergeCell ref="A1:N1"/>
    <mergeCell ref="A2:N2"/>
    <mergeCell ref="A4:N4"/>
    <mergeCell ref="S6:W6"/>
    <mergeCell ref="V7:V8"/>
    <mergeCell ref="O6:R6"/>
    <mergeCell ref="C7:F7"/>
    <mergeCell ref="X5:AH5"/>
    <mergeCell ref="AB7:AB8"/>
    <mergeCell ref="X6:AB6"/>
    <mergeCell ref="AC6:AH6"/>
    <mergeCell ref="AC7:AC8"/>
    <mergeCell ref="AE7:AE8"/>
    <mergeCell ref="AF7:AF8"/>
    <mergeCell ref="AG7:AG8"/>
    <mergeCell ref="AH7:AH8"/>
    <mergeCell ref="X7:X8"/>
    <mergeCell ref="C43:D43"/>
    <mergeCell ref="F43:G43"/>
    <mergeCell ref="I39:J39"/>
    <mergeCell ref="I40:J40"/>
    <mergeCell ref="I41:J41"/>
    <mergeCell ref="I42:J42"/>
    <mergeCell ref="I43:J43"/>
    <mergeCell ref="C39:D39"/>
    <mergeCell ref="C40:D40"/>
    <mergeCell ref="C41:D41"/>
    <mergeCell ref="I46:J46"/>
    <mergeCell ref="C42:D42"/>
    <mergeCell ref="C46:D46"/>
    <mergeCell ref="I47:J47"/>
    <mergeCell ref="I48:J48"/>
    <mergeCell ref="I49:J49"/>
    <mergeCell ref="I57:J57"/>
    <mergeCell ref="I60:J60"/>
    <mergeCell ref="I61:J61"/>
    <mergeCell ref="I50:J50"/>
    <mergeCell ref="I53:J53"/>
    <mergeCell ref="I54:J54"/>
    <mergeCell ref="I55:J55"/>
    <mergeCell ref="I62:J62"/>
    <mergeCell ref="I63:J63"/>
    <mergeCell ref="I64:J64"/>
    <mergeCell ref="C50:D50"/>
    <mergeCell ref="F50:G50"/>
    <mergeCell ref="C57:D57"/>
    <mergeCell ref="F57:G57"/>
    <mergeCell ref="C64:D64"/>
    <mergeCell ref="F64:G64"/>
    <mergeCell ref="I56:J56"/>
    <mergeCell ref="K39:L39"/>
    <mergeCell ref="K40:L40"/>
    <mergeCell ref="K41:L41"/>
    <mergeCell ref="K42:L42"/>
    <mergeCell ref="K63:L63"/>
    <mergeCell ref="K53:L53"/>
    <mergeCell ref="K54:L54"/>
    <mergeCell ref="K55:L55"/>
    <mergeCell ref="K56:L56"/>
    <mergeCell ref="N41:O41"/>
    <mergeCell ref="K60:L60"/>
    <mergeCell ref="K61:L61"/>
    <mergeCell ref="K62:L62"/>
    <mergeCell ref="K46:L46"/>
    <mergeCell ref="K47:L47"/>
    <mergeCell ref="K48:L48"/>
    <mergeCell ref="K49:L49"/>
    <mergeCell ref="N63:O63"/>
    <mergeCell ref="N53:O53"/>
    <mergeCell ref="N54:O54"/>
    <mergeCell ref="N55:O55"/>
    <mergeCell ref="N56:O56"/>
    <mergeCell ref="A27:A30"/>
    <mergeCell ref="N60:O60"/>
    <mergeCell ref="N61:O61"/>
    <mergeCell ref="N62:O62"/>
    <mergeCell ref="N46:O46"/>
    <mergeCell ref="N47:O47"/>
    <mergeCell ref="N48:O48"/>
    <mergeCell ref="N49:O49"/>
    <mergeCell ref="N39:O39"/>
    <mergeCell ref="N40:O40"/>
    <mergeCell ref="A60:A64"/>
    <mergeCell ref="A53:A57"/>
    <mergeCell ref="A6:N6"/>
    <mergeCell ref="A36:Q36"/>
    <mergeCell ref="N42:O42"/>
    <mergeCell ref="A39:A43"/>
    <mergeCell ref="A46:A50"/>
    <mergeCell ref="A9:A12"/>
    <mergeCell ref="A15:A18"/>
    <mergeCell ref="A21:A24"/>
  </mergeCells>
  <printOptions horizontalCentered="1"/>
  <pageMargins left="0.25" right="0.03" top="0.5" bottom="0.5" header="0.5" footer="0.5"/>
  <pageSetup fitToHeight="1" fitToWidth="1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A1" sqref="A1:I1"/>
    </sheetView>
  </sheetViews>
  <sheetFormatPr defaultColWidth="9.140625" defaultRowHeight="12.75"/>
  <cols>
    <col min="1" max="1" width="13.28125" style="0" customWidth="1"/>
    <col min="2" max="9" width="8.7109375" style="0" customWidth="1"/>
    <col min="14" max="14" width="16.28125" style="0" customWidth="1"/>
  </cols>
  <sheetData>
    <row r="1" spans="1:14" ht="21">
      <c r="A1" s="238" t="str">
        <f>'Input &amp; Output'!A1:N1</f>
        <v>project name and number</v>
      </c>
      <c r="B1" s="238"/>
      <c r="C1" s="238"/>
      <c r="D1" s="238"/>
      <c r="E1" s="238"/>
      <c r="F1" s="238"/>
      <c r="G1" s="238"/>
      <c r="H1" s="238"/>
      <c r="I1" s="238"/>
      <c r="J1" s="54"/>
      <c r="K1" s="54"/>
      <c r="L1" s="54"/>
      <c r="M1" s="54"/>
      <c r="N1" s="54"/>
    </row>
    <row r="2" spans="1:14" ht="21">
      <c r="A2" s="238" t="s">
        <v>81</v>
      </c>
      <c r="B2" s="238"/>
      <c r="C2" s="238"/>
      <c r="D2" s="238"/>
      <c r="E2" s="238"/>
      <c r="F2" s="238"/>
      <c r="G2" s="238"/>
      <c r="H2" s="238"/>
      <c r="I2" s="238"/>
      <c r="J2" s="54"/>
      <c r="K2" s="54"/>
      <c r="L2" s="54"/>
      <c r="M2" s="54"/>
      <c r="N2" s="54"/>
    </row>
    <row r="4" spans="1:14" ht="16.5">
      <c r="A4" s="239" t="str">
        <f>'Input &amp; Output'!A4:N4</f>
        <v>intersection</v>
      </c>
      <c r="B4" s="239"/>
      <c r="C4" s="239"/>
      <c r="D4" s="239"/>
      <c r="E4" s="239"/>
      <c r="F4" s="239"/>
      <c r="G4" s="239"/>
      <c r="H4" s="239"/>
      <c r="I4" s="239"/>
      <c r="J4" s="55"/>
      <c r="K4" s="55"/>
      <c r="L4" s="55"/>
      <c r="M4" s="55"/>
      <c r="N4" s="55"/>
    </row>
    <row r="5" spans="1:14" ht="16.5">
      <c r="A5" s="239" t="str">
        <f>Period1</f>
        <v>yr1 AM</v>
      </c>
      <c r="B5" s="239"/>
      <c r="C5" s="239"/>
      <c r="D5" s="239"/>
      <c r="E5" s="239"/>
      <c r="F5" s="239"/>
      <c r="G5" s="239"/>
      <c r="H5" s="239"/>
      <c r="I5" s="239"/>
      <c r="J5" s="55"/>
      <c r="K5" s="55"/>
      <c r="L5" s="55"/>
      <c r="M5" s="55"/>
      <c r="N5" s="55"/>
    </row>
    <row r="6" ht="13.5" thickBot="1"/>
    <row r="7" spans="1:9" ht="12.75">
      <c r="A7" s="1"/>
      <c r="B7" s="262" t="str">
        <f>NB</f>
        <v>NB approach</v>
      </c>
      <c r="C7" s="262"/>
      <c r="D7" s="262" t="str">
        <f>SB</f>
        <v>SB approach</v>
      </c>
      <c r="E7" s="262"/>
      <c r="F7" s="262" t="str">
        <f>EB</f>
        <v>EB approach</v>
      </c>
      <c r="G7" s="262"/>
      <c r="H7" s="262" t="str">
        <f>WB</f>
        <v>WB approach</v>
      </c>
      <c r="I7" s="263"/>
    </row>
    <row r="8" spans="1:9" ht="40.5" customHeight="1">
      <c r="A8" s="2"/>
      <c r="B8" s="144" t="s">
        <v>24</v>
      </c>
      <c r="C8" s="145" t="s">
        <v>25</v>
      </c>
      <c r="D8" s="144" t="s">
        <v>26</v>
      </c>
      <c r="E8" s="146" t="s">
        <v>27</v>
      </c>
      <c r="F8" s="144" t="s">
        <v>28</v>
      </c>
      <c r="G8" s="146" t="s">
        <v>29</v>
      </c>
      <c r="H8" s="147" t="s">
        <v>30</v>
      </c>
      <c r="I8" s="148" t="s">
        <v>31</v>
      </c>
    </row>
    <row r="9" spans="1:9" ht="27" customHeight="1">
      <c r="A9" s="111" t="s">
        <v>34</v>
      </c>
      <c r="B9" s="106" t="s">
        <v>45</v>
      </c>
      <c r="C9" s="107" t="s">
        <v>46</v>
      </c>
      <c r="D9" s="106" t="s">
        <v>45</v>
      </c>
      <c r="E9" s="108" t="s">
        <v>46</v>
      </c>
      <c r="F9" s="106" t="s">
        <v>45</v>
      </c>
      <c r="G9" s="108" t="s">
        <v>46</v>
      </c>
      <c r="H9" s="109" t="s">
        <v>45</v>
      </c>
      <c r="I9" s="110" t="s">
        <v>46</v>
      </c>
    </row>
    <row r="10" spans="1:9" ht="30" customHeight="1">
      <c r="A10" s="112" t="s">
        <v>15</v>
      </c>
      <c r="B10" s="78">
        <f aca="true" t="shared" si="0" ref="B10:I10">B56</f>
        <v>0</v>
      </c>
      <c r="C10" s="90">
        <f t="shared" si="0"/>
        <v>0</v>
      </c>
      <c r="D10" s="78">
        <f t="shared" si="0"/>
        <v>0</v>
      </c>
      <c r="E10" s="101">
        <f t="shared" si="0"/>
        <v>0</v>
      </c>
      <c r="F10" s="78">
        <f t="shared" si="0"/>
        <v>0</v>
      </c>
      <c r="G10" s="101">
        <f t="shared" si="0"/>
        <v>0</v>
      </c>
      <c r="H10" s="95">
        <f t="shared" si="0"/>
        <v>0</v>
      </c>
      <c r="I10" s="79">
        <f t="shared" si="0"/>
        <v>0</v>
      </c>
    </row>
    <row r="11" spans="1:9" ht="12.75">
      <c r="A11" s="112" t="s">
        <v>16</v>
      </c>
      <c r="B11" s="80" t="str">
        <f>IF(B10&gt;=C10,"*","")</f>
        <v>*</v>
      </c>
      <c r="C11" s="91" t="str">
        <f>IF(C10&gt;=B10,"*","")</f>
        <v>*</v>
      </c>
      <c r="D11" s="80" t="str">
        <f>IF(D10&gt;=E10,"*","")</f>
        <v>*</v>
      </c>
      <c r="E11" s="102" t="str">
        <f>IF(E10&gt;=D10,"*","")</f>
        <v>*</v>
      </c>
      <c r="F11" s="80" t="str">
        <f>IF(F10&gt;=G10,"*","")</f>
        <v>*</v>
      </c>
      <c r="G11" s="102" t="str">
        <f>IF(G10&gt;=F10,"*","")</f>
        <v>*</v>
      </c>
      <c r="H11" s="96" t="str">
        <f>IF(H10&gt;=I10,"*","")</f>
        <v>*</v>
      </c>
      <c r="I11" s="81" t="str">
        <f>IF(I10&gt;=H10,"*","")</f>
        <v>*</v>
      </c>
    </row>
    <row r="12" spans="1:9" ht="56.25" customHeight="1">
      <c r="A12" s="112" t="s">
        <v>32</v>
      </c>
      <c r="B12" s="78">
        <f>IF(B11="*",(1130*EXP(-0.0007*F43)),"")</f>
        <v>1130</v>
      </c>
      <c r="C12" s="90">
        <f>IF(C11="*",(1130*EXP(-0.0007*F43)),"")</f>
        <v>1130</v>
      </c>
      <c r="D12" s="78">
        <f>IF(D11="*",(1130*EXP(-0.0007*F44)),"")</f>
        <v>1130</v>
      </c>
      <c r="E12" s="101">
        <f>IF(E11="*",(1130*EXP(-0.0007*F44)),"")</f>
        <v>1130</v>
      </c>
      <c r="F12" s="78">
        <f>IF(F11="*",(1130*EXP(-0.0007*F45)),"")</f>
        <v>1130</v>
      </c>
      <c r="G12" s="101">
        <f>IF(G11="*",(1130*EXP(-0.0007*F45)),"")</f>
        <v>1130</v>
      </c>
      <c r="H12" s="95">
        <f>IF(H11="*",(1130*EXP(-0.0007*F46)),"")</f>
        <v>1130</v>
      </c>
      <c r="I12" s="79">
        <f>IF(I11="*",(1130*EXP(-0.0007*F46)),"")</f>
        <v>1130</v>
      </c>
    </row>
    <row r="13" spans="1:9" ht="54.75" customHeight="1">
      <c r="A13" s="112" t="s">
        <v>17</v>
      </c>
      <c r="B13" s="78">
        <f>IF(B11="",(1130*EXP(-0.0007*F43)),"")</f>
      </c>
      <c r="C13" s="90">
        <f>IF(C11="",(1130*EXP(-0.0007*F43)),"")</f>
      </c>
      <c r="D13" s="78">
        <f>IF(D11="",(1130*EXP(-0.0007*F44)),"")</f>
      </c>
      <c r="E13" s="101">
        <f>IF(E11="",(1130*EXP(-0.0007*F44)),"")</f>
      </c>
      <c r="F13" s="78">
        <f>IF(F11="",(1130*EXP(-0.0007*F45)),"")</f>
      </c>
      <c r="G13" s="101">
        <f>IF(G11="",(1130*EXP(-0.0007*F45)),"")</f>
      </c>
      <c r="H13" s="95">
        <f>IF(H11="",(1130*EXP(-0.0007*F46)),"")</f>
      </c>
      <c r="I13" s="79">
        <f>IF(I11="",(1130*EXP(-0.0007*F46)),"")</f>
      </c>
    </row>
    <row r="14" spans="1:9" ht="16.5" customHeight="1">
      <c r="A14" s="112" t="s">
        <v>18</v>
      </c>
      <c r="B14" s="82">
        <f>B10/MAX(B12:B13)</f>
        <v>0</v>
      </c>
      <c r="C14" s="92">
        <f aca="true" t="shared" si="1" ref="C14:I14">C10/MAX(C12:C13)</f>
        <v>0</v>
      </c>
      <c r="D14" s="82">
        <f t="shared" si="1"/>
        <v>0</v>
      </c>
      <c r="E14" s="103">
        <f t="shared" si="1"/>
        <v>0</v>
      </c>
      <c r="F14" s="82">
        <f t="shared" si="1"/>
        <v>0</v>
      </c>
      <c r="G14" s="103">
        <f t="shared" si="1"/>
        <v>0</v>
      </c>
      <c r="H14" s="97">
        <f t="shared" si="1"/>
        <v>0</v>
      </c>
      <c r="I14" s="83">
        <f t="shared" si="1"/>
        <v>0</v>
      </c>
    </row>
    <row r="15" spans="1:9" ht="36.75" customHeight="1">
      <c r="A15" s="112" t="s">
        <v>19</v>
      </c>
      <c r="B15" s="84">
        <f>3600/MAX(B12:B13)+900*0.25*(B14-1+((B14-1)^2+((3600/MAX(B12:B13))*B14)/(450*0.25))^0.5)</f>
        <v>3.185840707964602</v>
      </c>
      <c r="C15" s="93">
        <f aca="true" t="shared" si="2" ref="C15:I15">3600/MAX(C12:C13)+900*0.25*(C14-1+((C14-1)^2+((3600/MAX(C12:C13))*C14)/(450*0.25))^0.5)</f>
        <v>3.185840707964602</v>
      </c>
      <c r="D15" s="84">
        <f t="shared" si="2"/>
        <v>3.185840707964602</v>
      </c>
      <c r="E15" s="104">
        <f t="shared" si="2"/>
        <v>3.185840707964602</v>
      </c>
      <c r="F15" s="84">
        <f t="shared" si="2"/>
        <v>3.185840707964602</v>
      </c>
      <c r="G15" s="104">
        <f t="shared" si="2"/>
        <v>3.185840707964602</v>
      </c>
      <c r="H15" s="98">
        <f t="shared" si="2"/>
        <v>3.185840707964602</v>
      </c>
      <c r="I15" s="85">
        <f t="shared" si="2"/>
        <v>3.185840707964602</v>
      </c>
    </row>
    <row r="16" spans="1:9" ht="12.75">
      <c r="A16" s="112" t="s">
        <v>20</v>
      </c>
      <c r="B16" s="86" t="str">
        <f>IF(B15&lt;=10,"A",(IF(B15&lt;=15,"B",(IF(B15&lt;=25,"C",(IF(B15&lt;=35,"D",(IF(B15&lt;=50,"E","F")))))))))</f>
        <v>A</v>
      </c>
      <c r="C16" s="94" t="str">
        <f aca="true" t="shared" si="3" ref="C16:I16">IF(C15&lt;=10,"A",(IF(C15&lt;=15,"B",(IF(C15&lt;=25,"C",(IF(C15&lt;=35,"D",(IF(C15&lt;=50,"E","F")))))))))</f>
        <v>A</v>
      </c>
      <c r="D16" s="86" t="str">
        <f t="shared" si="3"/>
        <v>A</v>
      </c>
      <c r="E16" s="105" t="str">
        <f t="shared" si="3"/>
        <v>A</v>
      </c>
      <c r="F16" s="86" t="str">
        <f t="shared" si="3"/>
        <v>A</v>
      </c>
      <c r="G16" s="105" t="str">
        <f t="shared" si="3"/>
        <v>A</v>
      </c>
      <c r="H16" s="99" t="str">
        <f t="shared" si="3"/>
        <v>A</v>
      </c>
      <c r="I16" s="87" t="str">
        <f t="shared" si="3"/>
        <v>A</v>
      </c>
    </row>
    <row r="17" spans="1:9" ht="39.75" customHeight="1">
      <c r="A17" s="112" t="s">
        <v>23</v>
      </c>
      <c r="B17" s="88">
        <f>IF(B14&gt;=1,"*",900*0.25*(B14-1+((1-B14)^2+((3600/MAX(B12:B13))*B14)/(150*0.25))^0.5)*(MAX(B12:B13)/3600))</f>
        <v>0</v>
      </c>
      <c r="C17" s="44">
        <f aca="true" t="shared" si="4" ref="C17:I17">IF(C14&gt;=1,"*",900*0.25*(C14-1+((1-C14)^2+((3600/MAX(C12:C13))*C14)/(150*0.25))^0.5)*(MAX(C12:C13)/3600))</f>
        <v>0</v>
      </c>
      <c r="D17" s="88">
        <f t="shared" si="4"/>
        <v>0</v>
      </c>
      <c r="E17" s="45">
        <f t="shared" si="4"/>
        <v>0</v>
      </c>
      <c r="F17" s="88">
        <f t="shared" si="4"/>
        <v>0</v>
      </c>
      <c r="G17" s="45">
        <f t="shared" si="4"/>
        <v>0</v>
      </c>
      <c r="H17" s="100">
        <f t="shared" si="4"/>
        <v>0</v>
      </c>
      <c r="I17" s="89">
        <f t="shared" si="4"/>
        <v>0</v>
      </c>
    </row>
    <row r="18" spans="1:9" ht="39.75" customHeight="1">
      <c r="A18" s="112" t="s">
        <v>21</v>
      </c>
      <c r="B18" s="273" t="e">
        <f>((B10*B15)+(C10*C15))/(B10+C10)</f>
        <v>#DIV/0!</v>
      </c>
      <c r="C18" s="274"/>
      <c r="D18" s="273" t="e">
        <f>((D10*D15)+(E10*E15))/(D10+E10)</f>
        <v>#DIV/0!</v>
      </c>
      <c r="E18" s="278"/>
      <c r="F18" s="273" t="e">
        <f>((F10*F15)+(G10*G15))/(F10+G10)</f>
        <v>#DIV/0!</v>
      </c>
      <c r="G18" s="278"/>
      <c r="H18" s="279" t="e">
        <f>((H10*H15)+(I10*I15))/(H10+I10)</f>
        <v>#DIV/0!</v>
      </c>
      <c r="I18" s="280"/>
    </row>
    <row r="19" spans="1:9" ht="42.75" customHeight="1" thickBot="1">
      <c r="A19" s="113" t="s">
        <v>22</v>
      </c>
      <c r="B19" s="275" t="e">
        <f>((B18*(B10+C10)+D18*(D10+E10)+F18*(F10+G10)+H18*(H10+I10))/SUM(B10:I10))</f>
        <v>#DIV/0!</v>
      </c>
      <c r="C19" s="276"/>
      <c r="D19" s="276"/>
      <c r="E19" s="276"/>
      <c r="F19" s="276"/>
      <c r="G19" s="276"/>
      <c r="H19" s="276"/>
      <c r="I19" s="277"/>
    </row>
    <row r="20" ht="12.75">
      <c r="A20" s="199" t="s">
        <v>99</v>
      </c>
    </row>
    <row r="23" ht="12.75">
      <c r="A23" s="37" t="s">
        <v>64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38</v>
      </c>
    </row>
    <row r="30" ht="12.75">
      <c r="A30" t="s">
        <v>40</v>
      </c>
    </row>
    <row r="31" ht="12.75">
      <c r="A31" t="s">
        <v>43</v>
      </c>
    </row>
    <row r="32" ht="12.75">
      <c r="A32" t="s">
        <v>47</v>
      </c>
    </row>
    <row r="33" ht="12.75">
      <c r="A33" t="s">
        <v>41</v>
      </c>
    </row>
    <row r="34" ht="12.75">
      <c r="A34" t="s">
        <v>42</v>
      </c>
    </row>
    <row r="35" ht="12.75">
      <c r="A35" t="s">
        <v>65</v>
      </c>
    </row>
    <row r="41" spans="1:9" ht="13.5" thickBot="1">
      <c r="A41" s="56"/>
      <c r="B41" s="266" t="s">
        <v>33</v>
      </c>
      <c r="C41" s="266"/>
      <c r="D41" s="266"/>
      <c r="E41" s="266"/>
      <c r="F41" s="56"/>
      <c r="G41" s="119"/>
      <c r="H41" s="119"/>
      <c r="I41" s="119"/>
    </row>
    <row r="42" spans="1:10" ht="12.75">
      <c r="A42" s="73" t="s">
        <v>0</v>
      </c>
      <c r="B42" s="74" t="s">
        <v>14</v>
      </c>
      <c r="C42" s="74" t="s">
        <v>2</v>
      </c>
      <c r="D42" s="74" t="s">
        <v>44</v>
      </c>
      <c r="E42" s="74" t="s">
        <v>4</v>
      </c>
      <c r="F42" s="75" t="s">
        <v>58</v>
      </c>
      <c r="H42" s="143"/>
      <c r="I42" s="143"/>
      <c r="J42" s="141"/>
    </row>
    <row r="43" spans="1:16" ht="12.75">
      <c r="A43" s="76" t="str">
        <f>NB</f>
        <v>NB approach</v>
      </c>
      <c r="B43" s="65">
        <f>'Input &amp; Output'!H9</f>
        <v>0</v>
      </c>
      <c r="C43" s="65">
        <f>'Input &amp; Output'!I9</f>
        <v>0</v>
      </c>
      <c r="D43" s="65">
        <f>'Input &amp; Output'!J9</f>
        <v>0</v>
      </c>
      <c r="E43" s="65">
        <f>'Input &amp; Output'!K9</f>
        <v>0</v>
      </c>
      <c r="F43" s="66">
        <f>'Input &amp; Output'!L9</f>
        <v>0</v>
      </c>
      <c r="G43" s="142"/>
      <c r="H43" s="143"/>
      <c r="I43" s="143"/>
      <c r="J43" s="141"/>
      <c r="K43" s="40"/>
      <c r="L43" s="40"/>
      <c r="M43" s="40"/>
      <c r="N43" s="40"/>
      <c r="O43" s="40"/>
      <c r="P43" s="40"/>
    </row>
    <row r="44" spans="1:16" ht="12.75">
      <c r="A44" s="76" t="str">
        <f>SB</f>
        <v>SB approach</v>
      </c>
      <c r="B44" s="65">
        <f>'Input &amp; Output'!H10</f>
        <v>0</v>
      </c>
      <c r="C44" s="65">
        <f>'Input &amp; Output'!I10</f>
        <v>0</v>
      </c>
      <c r="D44" s="65">
        <f>'Input &amp; Output'!J10</f>
        <v>0</v>
      </c>
      <c r="E44" s="65">
        <f>'Input &amp; Output'!K10</f>
        <v>0</v>
      </c>
      <c r="F44" s="66">
        <f>'Input &amp; Output'!L10</f>
        <v>0</v>
      </c>
      <c r="G44" s="142" t="s">
        <v>76</v>
      </c>
      <c r="H44" s="143"/>
      <c r="I44" s="143"/>
      <c r="J44" s="141"/>
      <c r="K44" s="40"/>
      <c r="L44" s="40"/>
      <c r="M44" s="40"/>
      <c r="N44" s="40"/>
      <c r="O44" s="40"/>
      <c r="P44" s="40"/>
    </row>
    <row r="45" spans="1:16" ht="12.75">
      <c r="A45" s="76" t="str">
        <f>EB</f>
        <v>EB approach</v>
      </c>
      <c r="B45" s="65">
        <f>'Input &amp; Output'!H11</f>
        <v>0</v>
      </c>
      <c r="C45" s="65">
        <f>'Input &amp; Output'!I11</f>
        <v>0</v>
      </c>
      <c r="D45" s="65">
        <f>'Input &amp; Output'!J11</f>
        <v>0</v>
      </c>
      <c r="E45" s="65">
        <f>'Input &amp; Output'!K11</f>
        <v>0</v>
      </c>
      <c r="F45" s="66">
        <f>'Input &amp; Output'!L11</f>
        <v>0</v>
      </c>
      <c r="G45" s="142"/>
      <c r="H45" s="143"/>
      <c r="I45" s="143"/>
      <c r="J45" s="141"/>
      <c r="K45" s="40"/>
      <c r="L45" s="40"/>
      <c r="M45" s="40"/>
      <c r="N45" s="40"/>
      <c r="O45" s="40"/>
      <c r="P45" s="40"/>
    </row>
    <row r="46" spans="1:16" ht="13.5" thickBot="1">
      <c r="A46" s="77" t="str">
        <f>WB</f>
        <v>WB approach</v>
      </c>
      <c r="B46" s="71">
        <f>'Input &amp; Output'!H12</f>
        <v>0</v>
      </c>
      <c r="C46" s="71">
        <f>'Input &amp; Output'!I12</f>
        <v>0</v>
      </c>
      <c r="D46" s="71">
        <f>'Input &amp; Output'!J12</f>
        <v>0</v>
      </c>
      <c r="E46" s="71">
        <f>'Input &amp; Output'!K12</f>
        <v>0</v>
      </c>
      <c r="F46" s="72">
        <f>'Input &amp; Output'!L12</f>
        <v>0</v>
      </c>
      <c r="G46" s="142"/>
      <c r="H46" s="143"/>
      <c r="I46" s="143"/>
      <c r="J46" s="141"/>
      <c r="K46" s="40"/>
      <c r="L46" s="40"/>
      <c r="M46" s="40"/>
      <c r="N46" s="40"/>
      <c r="O46" s="40"/>
      <c r="P46" s="40"/>
    </row>
    <row r="47" spans="1:9" ht="12.75">
      <c r="A47" s="56"/>
      <c r="B47" s="58"/>
      <c r="C47" s="58"/>
      <c r="D47" s="58"/>
      <c r="E47" s="58"/>
      <c r="F47" s="57"/>
      <c r="G47" s="57"/>
      <c r="H47" s="57"/>
      <c r="I47" s="57"/>
    </row>
    <row r="48" spans="1:9" ht="13.5" thickBot="1">
      <c r="A48" s="266" t="s">
        <v>83</v>
      </c>
      <c r="B48" s="266"/>
      <c r="C48" s="266"/>
      <c r="D48" s="266"/>
      <c r="E48" s="266"/>
      <c r="F48" s="266"/>
      <c r="G48" s="266"/>
      <c r="H48" s="266"/>
      <c r="I48" s="266"/>
    </row>
    <row r="49" spans="1:9" ht="12.75">
      <c r="A49" s="60" t="s">
        <v>0</v>
      </c>
      <c r="B49" s="267" t="s">
        <v>53</v>
      </c>
      <c r="C49" s="268"/>
      <c r="D49" s="269" t="s">
        <v>54</v>
      </c>
      <c r="E49" s="270"/>
      <c r="F49" s="271" t="s">
        <v>55</v>
      </c>
      <c r="G49" s="272"/>
      <c r="H49" s="264" t="s">
        <v>56</v>
      </c>
      <c r="I49" s="265"/>
    </row>
    <row r="50" spans="1:10" ht="12.75">
      <c r="A50" s="61" t="s">
        <v>34</v>
      </c>
      <c r="B50" s="62" t="s">
        <v>45</v>
      </c>
      <c r="C50" s="121" t="s">
        <v>46</v>
      </c>
      <c r="D50" s="129" t="s">
        <v>45</v>
      </c>
      <c r="E50" s="130" t="s">
        <v>46</v>
      </c>
      <c r="F50" s="129" t="s">
        <v>45</v>
      </c>
      <c r="G50" s="130" t="s">
        <v>46</v>
      </c>
      <c r="H50" s="125" t="s">
        <v>45</v>
      </c>
      <c r="I50" s="63" t="s">
        <v>46</v>
      </c>
      <c r="J50" s="59" t="s">
        <v>66</v>
      </c>
    </row>
    <row r="51" spans="1:10" ht="12.75">
      <c r="A51" s="64" t="s">
        <v>49</v>
      </c>
      <c r="B51" s="65">
        <f>SUM(B43:C43)</f>
        <v>0</v>
      </c>
      <c r="C51" s="122">
        <f>E43</f>
        <v>0</v>
      </c>
      <c r="D51" s="131">
        <f>SUM(B44:C44)</f>
        <v>0</v>
      </c>
      <c r="E51" s="132">
        <f>E44</f>
        <v>0</v>
      </c>
      <c r="F51" s="131">
        <f>SUM(B45:C45)</f>
        <v>0</v>
      </c>
      <c r="G51" s="132">
        <f>E45</f>
        <v>0</v>
      </c>
      <c r="H51" s="126">
        <f>SUM(B46:C46)</f>
        <v>0</v>
      </c>
      <c r="I51" s="66">
        <f>E46</f>
        <v>0</v>
      </c>
      <c r="J51" s="40" t="s">
        <v>59</v>
      </c>
    </row>
    <row r="52" spans="1:10" ht="29.25" customHeight="1">
      <c r="A52" s="67" t="s">
        <v>48</v>
      </c>
      <c r="B52" s="68">
        <f>IF(B51-C51&lt;=0,C51-B51,0)</f>
        <v>0</v>
      </c>
      <c r="C52" s="123">
        <f>IF(C51-B51&lt;=0,B51-C51,0)</f>
        <v>0</v>
      </c>
      <c r="D52" s="133">
        <f>IF(D51-E51&lt;=0,E51-D51,0)</f>
        <v>0</v>
      </c>
      <c r="E52" s="134">
        <f>IF(E51-D51&lt;=0,D51-E51,0)</f>
        <v>0</v>
      </c>
      <c r="F52" s="133">
        <f>IF(F51-G51&lt;=0,G51-F51,0)</f>
        <v>0</v>
      </c>
      <c r="G52" s="134">
        <f>IF(G51-F51&lt;=0,F51-G51,0)</f>
        <v>0</v>
      </c>
      <c r="H52" s="127">
        <f>IF(H51-I51&lt;=0,I51-H51,0)</f>
        <v>0</v>
      </c>
      <c r="I52" s="69">
        <f>IF(I51-H51&lt;=0,H51-I51,0)</f>
        <v>0</v>
      </c>
      <c r="J52" s="40" t="s">
        <v>74</v>
      </c>
    </row>
    <row r="53" spans="1:10" ht="29.25" customHeight="1">
      <c r="A53" s="67" t="s">
        <v>52</v>
      </c>
      <c r="B53" s="68">
        <f>MIN(B52,D43)</f>
        <v>0</v>
      </c>
      <c r="C53" s="123">
        <f>MIN(C52,D43)</f>
        <v>0</v>
      </c>
      <c r="D53" s="133">
        <f>MIN(D52,D44)</f>
        <v>0</v>
      </c>
      <c r="E53" s="134">
        <f>MIN(E52,D44)</f>
        <v>0</v>
      </c>
      <c r="F53" s="133">
        <f>MIN(F52,D45)</f>
        <v>0</v>
      </c>
      <c r="G53" s="134">
        <f>MIN(G52,D45)</f>
        <v>0</v>
      </c>
      <c r="H53" s="127">
        <f>MIN(H52,D46)</f>
        <v>0</v>
      </c>
      <c r="I53" s="69">
        <f>MIN(I52,D46)</f>
        <v>0</v>
      </c>
      <c r="J53" s="40" t="s">
        <v>60</v>
      </c>
    </row>
    <row r="54" spans="1:10" ht="77.25" customHeight="1">
      <c r="A54" s="67" t="s">
        <v>57</v>
      </c>
      <c r="B54" s="68">
        <f>IF(B52&gt;0,IF(B52&lt;=D43,D43-B52,0),0)</f>
        <v>0</v>
      </c>
      <c r="C54" s="123">
        <f>IF(C52&gt;0,IF(C52&lt;=D43,D43-C52,0),0)</f>
        <v>0</v>
      </c>
      <c r="D54" s="133">
        <f>IF(D52&gt;0,IF(D52&lt;=D44,D44-D52,0),0)</f>
        <v>0</v>
      </c>
      <c r="E54" s="134">
        <f>IF(E52&gt;0,IF(E52&lt;=D44,D44-E52,0),0)</f>
        <v>0</v>
      </c>
      <c r="F54" s="133">
        <f>IF(F52&gt;0,IF(F52&lt;=D45,D45-F52,0),0)</f>
        <v>0</v>
      </c>
      <c r="G54" s="134">
        <f>IF(G52&gt;0,IF(G52&lt;=D45,D45-G52,0),0)</f>
        <v>0</v>
      </c>
      <c r="H54" s="127">
        <f>IF(H52&gt;0,IF(H52&lt;=D46,D46-H52,0),0)</f>
        <v>0</v>
      </c>
      <c r="I54" s="69">
        <f>IF(I52&gt;0,IF(I52&lt;=D46,D46-I52,0),0)</f>
        <v>0</v>
      </c>
      <c r="J54" s="40" t="s">
        <v>61</v>
      </c>
    </row>
    <row r="55" spans="1:10" ht="38.25">
      <c r="A55" s="67" t="s">
        <v>50</v>
      </c>
      <c r="B55" s="68">
        <f>0.5*MAX(B54:C54)</f>
        <v>0</v>
      </c>
      <c r="C55" s="123">
        <f>0.5*MAX(B54:C54)</f>
        <v>0</v>
      </c>
      <c r="D55" s="133">
        <f>0.5*MAX(D54:E54)</f>
        <v>0</v>
      </c>
      <c r="E55" s="134">
        <f>0.5*MAX(D54:E54)</f>
        <v>0</v>
      </c>
      <c r="F55" s="133">
        <f>0.5*MAX(F54:G54)</f>
        <v>0</v>
      </c>
      <c r="G55" s="134">
        <f>0.5*MAX(F54:G54)</f>
        <v>0</v>
      </c>
      <c r="H55" s="127">
        <f>0.5*MAX(H54:I54)</f>
        <v>0</v>
      </c>
      <c r="I55" s="69">
        <f>0.5*MAX(H54:I54)</f>
        <v>0</v>
      </c>
      <c r="J55" s="40" t="s">
        <v>62</v>
      </c>
    </row>
    <row r="56" spans="1:10" ht="13.5" thickBot="1">
      <c r="A56" s="70" t="s">
        <v>51</v>
      </c>
      <c r="B56" s="71">
        <f>B51+B53+B55</f>
        <v>0</v>
      </c>
      <c r="C56" s="124">
        <f>C51+C53+C55</f>
        <v>0</v>
      </c>
      <c r="D56" s="135">
        <f aca="true" t="shared" si="5" ref="D56:I56">D51+D53+D55</f>
        <v>0</v>
      </c>
      <c r="E56" s="136">
        <f t="shared" si="5"/>
        <v>0</v>
      </c>
      <c r="F56" s="135">
        <f t="shared" si="5"/>
        <v>0</v>
      </c>
      <c r="G56" s="136">
        <f t="shared" si="5"/>
        <v>0</v>
      </c>
      <c r="H56" s="128">
        <f t="shared" si="5"/>
        <v>0</v>
      </c>
      <c r="I56" s="72">
        <f t="shared" si="5"/>
        <v>0</v>
      </c>
      <c r="J56" s="40" t="s">
        <v>82</v>
      </c>
    </row>
    <row r="59" spans="2:3" ht="12.75">
      <c r="B59" s="36"/>
      <c r="C59" s="36"/>
    </row>
  </sheetData>
  <mergeCells count="19">
    <mergeCell ref="B18:C18"/>
    <mergeCell ref="B19:I19"/>
    <mergeCell ref="D18:E18"/>
    <mergeCell ref="F18:G18"/>
    <mergeCell ref="H18:I18"/>
    <mergeCell ref="A5:I5"/>
    <mergeCell ref="H49:I49"/>
    <mergeCell ref="A48:I48"/>
    <mergeCell ref="A1:I1"/>
    <mergeCell ref="A2:I2"/>
    <mergeCell ref="A4:I4"/>
    <mergeCell ref="B49:C49"/>
    <mergeCell ref="D49:E49"/>
    <mergeCell ref="F49:G49"/>
    <mergeCell ref="B41:E41"/>
    <mergeCell ref="H7:I7"/>
    <mergeCell ref="B7:C7"/>
    <mergeCell ref="D7:E7"/>
    <mergeCell ref="F7:G7"/>
  </mergeCells>
  <conditionalFormatting sqref="B14:I14">
    <cfRule type="cellIs" priority="1" dxfId="0" operator="lessThan" stopIfTrue="1">
      <formula>0.85</formula>
    </cfRule>
    <cfRule type="cellIs" priority="2" dxfId="1" operator="between" stopIfTrue="1">
      <formula>0.85</formula>
      <formula>1</formula>
    </cfRule>
    <cfRule type="cellIs" priority="3" dxfId="2" operator="greaterThanOrEqual" stopIfTrue="1">
      <formula>1</formula>
    </cfRule>
  </conditionalFormatting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A5" sqref="A5:I5"/>
    </sheetView>
  </sheetViews>
  <sheetFormatPr defaultColWidth="9.140625" defaultRowHeight="12.75"/>
  <cols>
    <col min="1" max="1" width="13.28125" style="0" customWidth="1"/>
    <col min="2" max="9" width="8.7109375" style="0" customWidth="1"/>
    <col min="14" max="14" width="16.28125" style="0" customWidth="1"/>
  </cols>
  <sheetData>
    <row r="1" spans="1:14" ht="21">
      <c r="A1" s="238" t="str">
        <f>'Input &amp; Output'!A1:N1</f>
        <v>project name and number</v>
      </c>
      <c r="B1" s="238"/>
      <c r="C1" s="238"/>
      <c r="D1" s="238"/>
      <c r="E1" s="238"/>
      <c r="F1" s="238"/>
      <c r="G1" s="238"/>
      <c r="H1" s="238"/>
      <c r="I1" s="238"/>
      <c r="J1" s="54"/>
      <c r="K1" s="54"/>
      <c r="L1" s="54"/>
      <c r="M1" s="54"/>
      <c r="N1" s="54"/>
    </row>
    <row r="2" spans="1:14" ht="21">
      <c r="A2" s="238" t="s">
        <v>81</v>
      </c>
      <c r="B2" s="238"/>
      <c r="C2" s="238"/>
      <c r="D2" s="238"/>
      <c r="E2" s="238"/>
      <c r="F2" s="238"/>
      <c r="G2" s="238"/>
      <c r="H2" s="238"/>
      <c r="I2" s="238"/>
      <c r="J2" s="54"/>
      <c r="K2" s="54"/>
      <c r="L2" s="54"/>
      <c r="M2" s="54"/>
      <c r="N2" s="54"/>
    </row>
    <row r="4" spans="1:14" ht="16.5">
      <c r="A4" s="239" t="str">
        <f>'Input &amp; Output'!A4:N4</f>
        <v>intersection</v>
      </c>
      <c r="B4" s="239"/>
      <c r="C4" s="239"/>
      <c r="D4" s="239"/>
      <c r="E4" s="239"/>
      <c r="F4" s="239"/>
      <c r="G4" s="239"/>
      <c r="H4" s="239"/>
      <c r="I4" s="239"/>
      <c r="J4" s="55"/>
      <c r="K4" s="55"/>
      <c r="L4" s="55"/>
      <c r="M4" s="55"/>
      <c r="N4" s="55"/>
    </row>
    <row r="5" spans="1:14" ht="16.5">
      <c r="A5" s="239" t="str">
        <f>Period2</f>
        <v>yr1 PM</v>
      </c>
      <c r="B5" s="239"/>
      <c r="C5" s="239"/>
      <c r="D5" s="239"/>
      <c r="E5" s="239"/>
      <c r="F5" s="239"/>
      <c r="G5" s="239"/>
      <c r="H5" s="239"/>
      <c r="I5" s="239"/>
      <c r="J5" s="55"/>
      <c r="K5" s="55"/>
      <c r="L5" s="55"/>
      <c r="M5" s="55"/>
      <c r="N5" s="55"/>
    </row>
    <row r="6" ht="13.5" thickBot="1"/>
    <row r="7" spans="1:9" ht="12.75">
      <c r="A7" s="1"/>
      <c r="B7" s="262" t="str">
        <f>NB</f>
        <v>NB approach</v>
      </c>
      <c r="C7" s="262"/>
      <c r="D7" s="262" t="str">
        <f>SB</f>
        <v>SB approach</v>
      </c>
      <c r="E7" s="262"/>
      <c r="F7" s="262" t="str">
        <f>EB</f>
        <v>EB approach</v>
      </c>
      <c r="G7" s="262"/>
      <c r="H7" s="262" t="str">
        <f>WB</f>
        <v>WB approach</v>
      </c>
      <c r="I7" s="263"/>
    </row>
    <row r="8" spans="1:9" ht="40.5" customHeight="1">
      <c r="A8" s="2"/>
      <c r="B8" s="144" t="s">
        <v>24</v>
      </c>
      <c r="C8" s="145" t="s">
        <v>25</v>
      </c>
      <c r="D8" s="144" t="s">
        <v>26</v>
      </c>
      <c r="E8" s="146" t="s">
        <v>27</v>
      </c>
      <c r="F8" s="144" t="s">
        <v>28</v>
      </c>
      <c r="G8" s="146" t="s">
        <v>29</v>
      </c>
      <c r="H8" s="147" t="s">
        <v>30</v>
      </c>
      <c r="I8" s="148" t="s">
        <v>31</v>
      </c>
    </row>
    <row r="9" spans="1:9" ht="27" customHeight="1">
      <c r="A9" s="111" t="s">
        <v>34</v>
      </c>
      <c r="B9" s="106" t="s">
        <v>45</v>
      </c>
      <c r="C9" s="107" t="s">
        <v>46</v>
      </c>
      <c r="D9" s="106" t="s">
        <v>45</v>
      </c>
      <c r="E9" s="108" t="s">
        <v>46</v>
      </c>
      <c r="F9" s="106" t="s">
        <v>45</v>
      </c>
      <c r="G9" s="108" t="s">
        <v>46</v>
      </c>
      <c r="H9" s="109" t="s">
        <v>45</v>
      </c>
      <c r="I9" s="110" t="s">
        <v>46</v>
      </c>
    </row>
    <row r="10" spans="1:9" ht="30" customHeight="1">
      <c r="A10" s="112" t="s">
        <v>15</v>
      </c>
      <c r="B10" s="78">
        <f aca="true" t="shared" si="0" ref="B10:I10">B56</f>
        <v>0</v>
      </c>
      <c r="C10" s="90">
        <f t="shared" si="0"/>
        <v>0</v>
      </c>
      <c r="D10" s="78">
        <f t="shared" si="0"/>
        <v>0</v>
      </c>
      <c r="E10" s="101">
        <f t="shared" si="0"/>
        <v>0</v>
      </c>
      <c r="F10" s="78">
        <f t="shared" si="0"/>
        <v>0</v>
      </c>
      <c r="G10" s="101">
        <f t="shared" si="0"/>
        <v>0</v>
      </c>
      <c r="H10" s="95">
        <f t="shared" si="0"/>
        <v>0</v>
      </c>
      <c r="I10" s="79">
        <f t="shared" si="0"/>
        <v>0</v>
      </c>
    </row>
    <row r="11" spans="1:9" ht="12.75">
      <c r="A11" s="112" t="s">
        <v>16</v>
      </c>
      <c r="B11" s="80" t="str">
        <f>IF(B10&gt;=C10,"*","")</f>
        <v>*</v>
      </c>
      <c r="C11" s="91" t="str">
        <f>IF(C10&gt;=B10,"*","")</f>
        <v>*</v>
      </c>
      <c r="D11" s="80" t="str">
        <f>IF(D10&gt;=E10,"*","")</f>
        <v>*</v>
      </c>
      <c r="E11" s="102" t="str">
        <f>IF(E10&gt;=D10,"*","")</f>
        <v>*</v>
      </c>
      <c r="F11" s="80" t="str">
        <f>IF(F10&gt;=G10,"*","")</f>
        <v>*</v>
      </c>
      <c r="G11" s="102" t="str">
        <f>IF(G10&gt;=F10,"*","")</f>
        <v>*</v>
      </c>
      <c r="H11" s="96" t="str">
        <f>IF(H10&gt;=I10,"*","")</f>
        <v>*</v>
      </c>
      <c r="I11" s="81" t="str">
        <f>IF(I10&gt;=H10,"*","")</f>
        <v>*</v>
      </c>
    </row>
    <row r="12" spans="1:9" ht="56.25" customHeight="1">
      <c r="A12" s="112" t="s">
        <v>32</v>
      </c>
      <c r="B12" s="78">
        <f>IF(B11="*",(1130*EXP(-0.0007*F43)),"")</f>
        <v>1130</v>
      </c>
      <c r="C12" s="90">
        <f>IF(C11="*",(1130*EXP(-0.0007*F43)),"")</f>
        <v>1130</v>
      </c>
      <c r="D12" s="78">
        <f>IF(D11="*",(1130*EXP(-0.0007*F44)),"")</f>
        <v>1130</v>
      </c>
      <c r="E12" s="101">
        <f>IF(E11="*",(1130*EXP(-0.0007*F44)),"")</f>
        <v>1130</v>
      </c>
      <c r="F12" s="78">
        <f>IF(F11="*",(1130*EXP(-0.0007*F45)),"")</f>
        <v>1130</v>
      </c>
      <c r="G12" s="101">
        <f>IF(G11="*",(1130*EXP(-0.0007*F45)),"")</f>
        <v>1130</v>
      </c>
      <c r="H12" s="95">
        <f>IF(H11="*",(1130*EXP(-0.0007*F46)),"")</f>
        <v>1130</v>
      </c>
      <c r="I12" s="79">
        <f>IF(I11="*",(1130*EXP(-0.0007*F46)),"")</f>
        <v>1130</v>
      </c>
    </row>
    <row r="13" spans="1:9" ht="54.75" customHeight="1">
      <c r="A13" s="112" t="s">
        <v>17</v>
      </c>
      <c r="B13" s="78">
        <f>IF(B11="",(1130*EXP(-0.0007*F43)),"")</f>
      </c>
      <c r="C13" s="90">
        <f>IF(C11="",(1130*EXP(-0.0007*F43)),"")</f>
      </c>
      <c r="D13" s="78">
        <f>IF(D11="",(1130*EXP(-0.0007*F44)),"")</f>
      </c>
      <c r="E13" s="101">
        <f>IF(E11="",(1130*EXP(-0.0007*F44)),"")</f>
      </c>
      <c r="F13" s="78">
        <f>IF(F11="",(1130*EXP(-0.0007*F45)),"")</f>
      </c>
      <c r="G13" s="101">
        <f>IF(G11="",(1130*EXP(-0.0007*F45)),"")</f>
      </c>
      <c r="H13" s="95">
        <f>IF(H11="",(1130*EXP(-0.0007*F46)),"")</f>
      </c>
      <c r="I13" s="79">
        <f>IF(I11="",(1130*EXP(-0.0007*F46)),"")</f>
      </c>
    </row>
    <row r="14" spans="1:9" ht="16.5" customHeight="1">
      <c r="A14" s="112" t="s">
        <v>18</v>
      </c>
      <c r="B14" s="82">
        <f aca="true" t="shared" si="1" ref="B14:I14">B10/MAX(B12:B13)</f>
        <v>0</v>
      </c>
      <c r="C14" s="92">
        <f t="shared" si="1"/>
        <v>0</v>
      </c>
      <c r="D14" s="82">
        <f t="shared" si="1"/>
        <v>0</v>
      </c>
      <c r="E14" s="103">
        <f t="shared" si="1"/>
        <v>0</v>
      </c>
      <c r="F14" s="82">
        <f t="shared" si="1"/>
        <v>0</v>
      </c>
      <c r="G14" s="103">
        <f t="shared" si="1"/>
        <v>0</v>
      </c>
      <c r="H14" s="97">
        <f t="shared" si="1"/>
        <v>0</v>
      </c>
      <c r="I14" s="83">
        <f t="shared" si="1"/>
        <v>0</v>
      </c>
    </row>
    <row r="15" spans="1:9" ht="36.75" customHeight="1">
      <c r="A15" s="112" t="s">
        <v>19</v>
      </c>
      <c r="B15" s="84">
        <f aca="true" t="shared" si="2" ref="B15:I15">3600/MAX(B12:B13)+900*0.25*(B14-1+((B14-1)^2+((3600/MAX(B12:B13))*B14)/(450*0.25))^0.5)</f>
        <v>3.185840707964602</v>
      </c>
      <c r="C15" s="93">
        <f t="shared" si="2"/>
        <v>3.185840707964602</v>
      </c>
      <c r="D15" s="84">
        <f t="shared" si="2"/>
        <v>3.185840707964602</v>
      </c>
      <c r="E15" s="104">
        <f t="shared" si="2"/>
        <v>3.185840707964602</v>
      </c>
      <c r="F15" s="84">
        <f t="shared" si="2"/>
        <v>3.185840707964602</v>
      </c>
      <c r="G15" s="104">
        <f t="shared" si="2"/>
        <v>3.185840707964602</v>
      </c>
      <c r="H15" s="98">
        <f t="shared" si="2"/>
        <v>3.185840707964602</v>
      </c>
      <c r="I15" s="85">
        <f t="shared" si="2"/>
        <v>3.185840707964602</v>
      </c>
    </row>
    <row r="16" spans="1:9" ht="12.75">
      <c r="A16" s="112" t="s">
        <v>20</v>
      </c>
      <c r="B16" s="86" t="str">
        <f aca="true" t="shared" si="3" ref="B16:I16">IF(B15&lt;=10,"A",(IF(B15&lt;=15,"B",(IF(B15&lt;=25,"C",(IF(B15&lt;=35,"D",(IF(B15&lt;=50,"E","F")))))))))</f>
        <v>A</v>
      </c>
      <c r="C16" s="94" t="str">
        <f t="shared" si="3"/>
        <v>A</v>
      </c>
      <c r="D16" s="86" t="str">
        <f t="shared" si="3"/>
        <v>A</v>
      </c>
      <c r="E16" s="105" t="str">
        <f t="shared" si="3"/>
        <v>A</v>
      </c>
      <c r="F16" s="86" t="str">
        <f t="shared" si="3"/>
        <v>A</v>
      </c>
      <c r="G16" s="105" t="str">
        <f t="shared" si="3"/>
        <v>A</v>
      </c>
      <c r="H16" s="99" t="str">
        <f t="shared" si="3"/>
        <v>A</v>
      </c>
      <c r="I16" s="87" t="str">
        <f t="shared" si="3"/>
        <v>A</v>
      </c>
    </row>
    <row r="17" spans="1:9" ht="39.75" customHeight="1">
      <c r="A17" s="112" t="s">
        <v>23</v>
      </c>
      <c r="B17" s="88">
        <f aca="true" t="shared" si="4" ref="B17:I17">IF(B14&gt;=1,"*",900*0.25*(B14-1+((1-B14)^2+((3600/MAX(B12:B13))*B14)/(150*0.25))^0.5)*(MAX(B12:B13)/3600))</f>
        <v>0</v>
      </c>
      <c r="C17" s="44">
        <f t="shared" si="4"/>
        <v>0</v>
      </c>
      <c r="D17" s="88">
        <f t="shared" si="4"/>
        <v>0</v>
      </c>
      <c r="E17" s="45">
        <f t="shared" si="4"/>
        <v>0</v>
      </c>
      <c r="F17" s="88">
        <f t="shared" si="4"/>
        <v>0</v>
      </c>
      <c r="G17" s="45">
        <f t="shared" si="4"/>
        <v>0</v>
      </c>
      <c r="H17" s="100">
        <f t="shared" si="4"/>
        <v>0</v>
      </c>
      <c r="I17" s="89">
        <f t="shared" si="4"/>
        <v>0</v>
      </c>
    </row>
    <row r="18" spans="1:9" ht="39.75" customHeight="1">
      <c r="A18" s="112" t="s">
        <v>21</v>
      </c>
      <c r="B18" s="273" t="e">
        <f>((B10*B15)+(C10*C15))/(B10+C10)</f>
        <v>#DIV/0!</v>
      </c>
      <c r="C18" s="274"/>
      <c r="D18" s="273" t="e">
        <f>((D10*D15)+(E10*E15))/(D10+E10)</f>
        <v>#DIV/0!</v>
      </c>
      <c r="E18" s="278"/>
      <c r="F18" s="273" t="e">
        <f>((F10*F15)+(G10*G15))/(F10+G10)</f>
        <v>#DIV/0!</v>
      </c>
      <c r="G18" s="278"/>
      <c r="H18" s="279" t="e">
        <f>((H10*H15)+(I10*I15))/(H10+I10)</f>
        <v>#DIV/0!</v>
      </c>
      <c r="I18" s="280"/>
    </row>
    <row r="19" spans="1:9" ht="42.75" customHeight="1" thickBot="1">
      <c r="A19" s="113" t="s">
        <v>22</v>
      </c>
      <c r="B19" s="275" t="e">
        <f>((B18*(B10+C10)+D18*(D10+E10)+F18*(F10+G10)+H18*(H10+I10))/SUM(B10:I10))</f>
        <v>#DIV/0!</v>
      </c>
      <c r="C19" s="276"/>
      <c r="D19" s="276"/>
      <c r="E19" s="276"/>
      <c r="F19" s="276"/>
      <c r="G19" s="276"/>
      <c r="H19" s="276"/>
      <c r="I19" s="277"/>
    </row>
    <row r="20" ht="12.75">
      <c r="A20" s="199" t="s">
        <v>99</v>
      </c>
    </row>
    <row r="23" ht="12.75">
      <c r="A23" s="37" t="s">
        <v>64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38</v>
      </c>
    </row>
    <row r="30" ht="12.75">
      <c r="A30" t="s">
        <v>40</v>
      </c>
    </row>
    <row r="31" ht="12.75">
      <c r="A31" t="s">
        <v>43</v>
      </c>
    </row>
    <row r="32" ht="12.75">
      <c r="A32" t="s">
        <v>47</v>
      </c>
    </row>
    <row r="33" ht="12.75">
      <c r="A33" t="s">
        <v>41</v>
      </c>
    </row>
    <row r="34" ht="12.75">
      <c r="A34" t="s">
        <v>42</v>
      </c>
    </row>
    <row r="35" ht="12.75">
      <c r="A35" t="s">
        <v>65</v>
      </c>
    </row>
    <row r="41" spans="1:9" ht="13.5" thickBot="1">
      <c r="A41" s="56"/>
      <c r="B41" s="266" t="s">
        <v>33</v>
      </c>
      <c r="C41" s="266"/>
      <c r="D41" s="266"/>
      <c r="E41" s="266"/>
      <c r="F41" s="56"/>
      <c r="G41" s="119"/>
      <c r="H41" s="119"/>
      <c r="I41" s="119"/>
    </row>
    <row r="42" spans="1:10" ht="12.75">
      <c r="A42" s="73" t="s">
        <v>0</v>
      </c>
      <c r="B42" s="74" t="s">
        <v>14</v>
      </c>
      <c r="C42" s="74" t="s">
        <v>2</v>
      </c>
      <c r="D42" s="74" t="s">
        <v>44</v>
      </c>
      <c r="E42" s="74" t="s">
        <v>4</v>
      </c>
      <c r="F42" s="75" t="s">
        <v>58</v>
      </c>
      <c r="H42" s="143"/>
      <c r="I42" s="143"/>
      <c r="J42" s="141"/>
    </row>
    <row r="43" spans="1:16" ht="12.75">
      <c r="A43" s="76" t="str">
        <f>NB</f>
        <v>NB approach</v>
      </c>
      <c r="B43" s="65">
        <f>'Input &amp; Output'!H15</f>
        <v>0</v>
      </c>
      <c r="C43" s="65">
        <f>'Input &amp; Output'!I15</f>
        <v>0</v>
      </c>
      <c r="D43" s="65">
        <f>'Input &amp; Output'!J15</f>
        <v>0</v>
      </c>
      <c r="E43" s="65">
        <f>'Input &amp; Output'!K15</f>
        <v>0</v>
      </c>
      <c r="F43" s="66">
        <f>'Input &amp; Output'!L15</f>
        <v>0</v>
      </c>
      <c r="G43" s="142"/>
      <c r="H43" s="143"/>
      <c r="I43" s="143"/>
      <c r="J43" s="141"/>
      <c r="K43" s="40"/>
      <c r="L43" s="40"/>
      <c r="M43" s="40"/>
      <c r="N43" s="40"/>
      <c r="O43" s="40"/>
      <c r="P43" s="40"/>
    </row>
    <row r="44" spans="1:16" ht="12.75">
      <c r="A44" s="76" t="str">
        <f>SB</f>
        <v>SB approach</v>
      </c>
      <c r="B44" s="65">
        <f>'Input &amp; Output'!H16</f>
        <v>0</v>
      </c>
      <c r="C44" s="65">
        <f>'Input &amp; Output'!I16</f>
        <v>0</v>
      </c>
      <c r="D44" s="65">
        <f>'Input &amp; Output'!J16</f>
        <v>0</v>
      </c>
      <c r="E44" s="65">
        <f>'Input &amp; Output'!K16</f>
        <v>0</v>
      </c>
      <c r="F44" s="66">
        <f>'Input &amp; Output'!L16</f>
        <v>0</v>
      </c>
      <c r="G44" s="142" t="s">
        <v>76</v>
      </c>
      <c r="H44" s="143"/>
      <c r="I44" s="143"/>
      <c r="J44" s="141"/>
      <c r="K44" s="40"/>
      <c r="L44" s="40"/>
      <c r="M44" s="40"/>
      <c r="N44" s="40"/>
      <c r="O44" s="40"/>
      <c r="P44" s="40"/>
    </row>
    <row r="45" spans="1:16" ht="12.75">
      <c r="A45" s="76" t="str">
        <f>EB</f>
        <v>EB approach</v>
      </c>
      <c r="B45" s="65">
        <f>'Input &amp; Output'!H17</f>
        <v>0</v>
      </c>
      <c r="C45" s="65">
        <f>'Input &amp; Output'!I17</f>
        <v>0</v>
      </c>
      <c r="D45" s="65">
        <f>'Input &amp; Output'!J17</f>
        <v>0</v>
      </c>
      <c r="E45" s="65">
        <f>'Input &amp; Output'!K17</f>
        <v>0</v>
      </c>
      <c r="F45" s="66">
        <f>'Input &amp; Output'!L17</f>
        <v>0</v>
      </c>
      <c r="G45" s="142"/>
      <c r="H45" s="143"/>
      <c r="I45" s="143"/>
      <c r="J45" s="141"/>
      <c r="K45" s="40"/>
      <c r="L45" s="40"/>
      <c r="M45" s="40"/>
      <c r="N45" s="40"/>
      <c r="O45" s="40"/>
      <c r="P45" s="40"/>
    </row>
    <row r="46" spans="1:16" ht="13.5" thickBot="1">
      <c r="A46" s="77" t="str">
        <f>WB</f>
        <v>WB approach</v>
      </c>
      <c r="B46" s="71">
        <f>'Input &amp; Output'!H18</f>
        <v>0</v>
      </c>
      <c r="C46" s="71">
        <f>'Input &amp; Output'!I18</f>
        <v>0</v>
      </c>
      <c r="D46" s="71">
        <f>'Input &amp; Output'!J18</f>
        <v>0</v>
      </c>
      <c r="E46" s="71">
        <f>'Input &amp; Output'!K18</f>
        <v>0</v>
      </c>
      <c r="F46" s="72">
        <f>'Input &amp; Output'!L18</f>
        <v>0</v>
      </c>
      <c r="G46" s="142"/>
      <c r="H46" s="143"/>
      <c r="I46" s="143"/>
      <c r="J46" s="141"/>
      <c r="K46" s="40"/>
      <c r="L46" s="40"/>
      <c r="M46" s="40"/>
      <c r="N46" s="40"/>
      <c r="O46" s="40"/>
      <c r="P46" s="40"/>
    </row>
    <row r="47" spans="1:9" ht="12.75">
      <c r="A47" s="56"/>
      <c r="B47" s="58"/>
      <c r="C47" s="58"/>
      <c r="D47" s="58"/>
      <c r="E47" s="58"/>
      <c r="F47" s="57"/>
      <c r="G47" s="57"/>
      <c r="H47" s="57"/>
      <c r="I47" s="57"/>
    </row>
    <row r="48" spans="1:9" ht="13.5" thickBot="1">
      <c r="A48" s="266" t="s">
        <v>83</v>
      </c>
      <c r="B48" s="266"/>
      <c r="C48" s="266"/>
      <c r="D48" s="266"/>
      <c r="E48" s="266"/>
      <c r="F48" s="266"/>
      <c r="G48" s="266"/>
      <c r="H48" s="266"/>
      <c r="I48" s="266"/>
    </row>
    <row r="49" spans="1:9" ht="12.75">
      <c r="A49" s="60" t="s">
        <v>0</v>
      </c>
      <c r="B49" s="267" t="s">
        <v>53</v>
      </c>
      <c r="C49" s="268"/>
      <c r="D49" s="269" t="s">
        <v>54</v>
      </c>
      <c r="E49" s="270"/>
      <c r="F49" s="271" t="s">
        <v>55</v>
      </c>
      <c r="G49" s="272"/>
      <c r="H49" s="264" t="s">
        <v>56</v>
      </c>
      <c r="I49" s="265"/>
    </row>
    <row r="50" spans="1:10" ht="12.75">
      <c r="A50" s="61" t="s">
        <v>34</v>
      </c>
      <c r="B50" s="62" t="s">
        <v>45</v>
      </c>
      <c r="C50" s="121" t="s">
        <v>46</v>
      </c>
      <c r="D50" s="129" t="s">
        <v>45</v>
      </c>
      <c r="E50" s="130" t="s">
        <v>46</v>
      </c>
      <c r="F50" s="129" t="s">
        <v>45</v>
      </c>
      <c r="G50" s="130" t="s">
        <v>46</v>
      </c>
      <c r="H50" s="125" t="s">
        <v>45</v>
      </c>
      <c r="I50" s="63" t="s">
        <v>46</v>
      </c>
      <c r="J50" s="59" t="s">
        <v>66</v>
      </c>
    </row>
    <row r="51" spans="1:10" ht="12.75">
      <c r="A51" s="64" t="s">
        <v>49</v>
      </c>
      <c r="B51" s="65">
        <f>SUM(B43:C43)</f>
        <v>0</v>
      </c>
      <c r="C51" s="122">
        <f>E43</f>
        <v>0</v>
      </c>
      <c r="D51" s="131">
        <f>SUM(B44:C44)</f>
        <v>0</v>
      </c>
      <c r="E51" s="132">
        <f>E44</f>
        <v>0</v>
      </c>
      <c r="F51" s="131">
        <f>SUM(B45:C45)</f>
        <v>0</v>
      </c>
      <c r="G51" s="132">
        <f>E45</f>
        <v>0</v>
      </c>
      <c r="H51" s="126">
        <f>SUM(B46:C46)</f>
        <v>0</v>
      </c>
      <c r="I51" s="66">
        <f>E46</f>
        <v>0</v>
      </c>
      <c r="J51" s="40" t="s">
        <v>59</v>
      </c>
    </row>
    <row r="52" spans="1:10" ht="29.25" customHeight="1">
      <c r="A52" s="67" t="s">
        <v>48</v>
      </c>
      <c r="B52" s="68">
        <f>IF(B51-C51&lt;=0,C51-B51,0)</f>
        <v>0</v>
      </c>
      <c r="C52" s="123">
        <f>IF(C51-B51&lt;=0,B51-C51,0)</f>
        <v>0</v>
      </c>
      <c r="D52" s="133">
        <f>IF(D51-E51&lt;=0,E51-D51,0)</f>
        <v>0</v>
      </c>
      <c r="E52" s="134">
        <f>IF(E51-D51&lt;=0,D51-E51,0)</f>
        <v>0</v>
      </c>
      <c r="F52" s="133">
        <f>IF(F51-G51&lt;=0,G51-F51,0)</f>
        <v>0</v>
      </c>
      <c r="G52" s="134">
        <f>IF(G51-F51&lt;=0,F51-G51,0)</f>
        <v>0</v>
      </c>
      <c r="H52" s="127">
        <f>IF(H51-I51&lt;=0,I51-H51,0)</f>
        <v>0</v>
      </c>
      <c r="I52" s="69">
        <f>IF(I51-H51&lt;=0,H51-I51,0)</f>
        <v>0</v>
      </c>
      <c r="J52" s="40" t="s">
        <v>74</v>
      </c>
    </row>
    <row r="53" spans="1:10" ht="29.25" customHeight="1">
      <c r="A53" s="67" t="s">
        <v>52</v>
      </c>
      <c r="B53" s="68">
        <f>MIN(B52,D43)</f>
        <v>0</v>
      </c>
      <c r="C53" s="123">
        <f>MIN(C52,D43)</f>
        <v>0</v>
      </c>
      <c r="D53" s="133">
        <f>MIN(D52,D44)</f>
        <v>0</v>
      </c>
      <c r="E53" s="134">
        <f>MIN(E52,D44)</f>
        <v>0</v>
      </c>
      <c r="F53" s="133">
        <f>MIN(F52,D45)</f>
        <v>0</v>
      </c>
      <c r="G53" s="134">
        <f>MIN(G52,D45)</f>
        <v>0</v>
      </c>
      <c r="H53" s="127">
        <f>MIN(H52,D46)</f>
        <v>0</v>
      </c>
      <c r="I53" s="69">
        <f>MIN(I52,D46)</f>
        <v>0</v>
      </c>
      <c r="J53" s="40" t="s">
        <v>60</v>
      </c>
    </row>
    <row r="54" spans="1:10" ht="77.25" customHeight="1">
      <c r="A54" s="67" t="s">
        <v>57</v>
      </c>
      <c r="B54" s="68">
        <f>IF(B52&gt;0,IF(B52&lt;=D43,D43-B52,0),0)</f>
        <v>0</v>
      </c>
      <c r="C54" s="123">
        <f>IF(C52&gt;0,IF(C52&lt;=D43,D43-C52,0),0)</f>
        <v>0</v>
      </c>
      <c r="D54" s="133">
        <f>IF(D52&gt;0,IF(D52&lt;=D44,D44-D52,0),0)</f>
        <v>0</v>
      </c>
      <c r="E54" s="134">
        <f>IF(E52&gt;0,IF(E52&lt;=D44,D44-E52,0),0)</f>
        <v>0</v>
      </c>
      <c r="F54" s="133">
        <f>IF(F52&gt;0,IF(F52&lt;=D45,D45-F52,0),0)</f>
        <v>0</v>
      </c>
      <c r="G54" s="134">
        <f>IF(G52&gt;0,IF(G52&lt;=D45,D45-G52,0),0)</f>
        <v>0</v>
      </c>
      <c r="H54" s="127">
        <f>IF(H52&gt;0,IF(H52&lt;=D46,D46-H52,0),0)</f>
        <v>0</v>
      </c>
      <c r="I54" s="69">
        <f>IF(I52&gt;0,IF(I52&lt;=D46,D46-I52,0),0)</f>
        <v>0</v>
      </c>
      <c r="J54" s="40" t="s">
        <v>61</v>
      </c>
    </row>
    <row r="55" spans="1:10" ht="38.25">
      <c r="A55" s="67" t="s">
        <v>50</v>
      </c>
      <c r="B55" s="68">
        <f>0.5*MAX(B54:C54)</f>
        <v>0</v>
      </c>
      <c r="C55" s="123">
        <f>0.5*MAX(B54:C54)</f>
        <v>0</v>
      </c>
      <c r="D55" s="133">
        <f>0.5*MAX(D54:E54)</f>
        <v>0</v>
      </c>
      <c r="E55" s="134">
        <f>0.5*MAX(D54:E54)</f>
        <v>0</v>
      </c>
      <c r="F55" s="133">
        <f>0.5*MAX(F54:G54)</f>
        <v>0</v>
      </c>
      <c r="G55" s="134">
        <f>0.5*MAX(F54:G54)</f>
        <v>0</v>
      </c>
      <c r="H55" s="127">
        <f>0.5*MAX(H54:I54)</f>
        <v>0</v>
      </c>
      <c r="I55" s="69">
        <f>0.5*MAX(H54:I54)</f>
        <v>0</v>
      </c>
      <c r="J55" s="40" t="s">
        <v>62</v>
      </c>
    </row>
    <row r="56" spans="1:10" ht="13.5" thickBot="1">
      <c r="A56" s="70" t="s">
        <v>51</v>
      </c>
      <c r="B56" s="71">
        <f aca="true" t="shared" si="5" ref="B56:I56">B51+B53+B55</f>
        <v>0</v>
      </c>
      <c r="C56" s="124">
        <f t="shared" si="5"/>
        <v>0</v>
      </c>
      <c r="D56" s="135">
        <f t="shared" si="5"/>
        <v>0</v>
      </c>
      <c r="E56" s="136">
        <f t="shared" si="5"/>
        <v>0</v>
      </c>
      <c r="F56" s="135">
        <f t="shared" si="5"/>
        <v>0</v>
      </c>
      <c r="G56" s="136">
        <f t="shared" si="5"/>
        <v>0</v>
      </c>
      <c r="H56" s="128">
        <f t="shared" si="5"/>
        <v>0</v>
      </c>
      <c r="I56" s="72">
        <f t="shared" si="5"/>
        <v>0</v>
      </c>
      <c r="J56" s="40" t="s">
        <v>82</v>
      </c>
    </row>
    <row r="59" spans="2:3" ht="12.75">
      <c r="B59" s="36"/>
      <c r="C59" s="36"/>
    </row>
  </sheetData>
  <mergeCells count="19">
    <mergeCell ref="H49:I49"/>
    <mergeCell ref="A48:I48"/>
    <mergeCell ref="A1:I1"/>
    <mergeCell ref="A2:I2"/>
    <mergeCell ref="A4:I4"/>
    <mergeCell ref="B49:C49"/>
    <mergeCell ref="D49:E49"/>
    <mergeCell ref="F49:G49"/>
    <mergeCell ref="B41:E41"/>
    <mergeCell ref="A5:I5"/>
    <mergeCell ref="B18:C18"/>
    <mergeCell ref="B19:I19"/>
    <mergeCell ref="D18:E18"/>
    <mergeCell ref="F18:G18"/>
    <mergeCell ref="H18:I18"/>
    <mergeCell ref="H7:I7"/>
    <mergeCell ref="B7:C7"/>
    <mergeCell ref="D7:E7"/>
    <mergeCell ref="F7:G7"/>
  </mergeCells>
  <conditionalFormatting sqref="B14:I14">
    <cfRule type="cellIs" priority="1" dxfId="0" operator="lessThan" stopIfTrue="1">
      <formula>0.85</formula>
    </cfRule>
    <cfRule type="cellIs" priority="2" dxfId="1" operator="between" stopIfTrue="1">
      <formula>0.85</formula>
      <formula>1</formula>
    </cfRule>
    <cfRule type="cellIs" priority="3" dxfId="2" operator="greaterThanOrEqual" stopIfTrue="1">
      <formula>1</formula>
    </cfRule>
  </conditionalFormatting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L12" sqref="L12"/>
    </sheetView>
  </sheetViews>
  <sheetFormatPr defaultColWidth="9.140625" defaultRowHeight="12.75"/>
  <cols>
    <col min="1" max="1" width="13.28125" style="0" customWidth="1"/>
    <col min="2" max="9" width="8.7109375" style="0" customWidth="1"/>
    <col min="14" max="14" width="16.28125" style="0" customWidth="1"/>
  </cols>
  <sheetData>
    <row r="1" spans="1:14" ht="21">
      <c r="A1" s="238" t="str">
        <f>'Input &amp; Output'!A1:N1</f>
        <v>project name and number</v>
      </c>
      <c r="B1" s="238"/>
      <c r="C1" s="238"/>
      <c r="D1" s="238"/>
      <c r="E1" s="238"/>
      <c r="F1" s="238"/>
      <c r="G1" s="238"/>
      <c r="H1" s="238"/>
      <c r="I1" s="238"/>
      <c r="J1" s="54"/>
      <c r="K1" s="54"/>
      <c r="L1" s="54"/>
      <c r="M1" s="54"/>
      <c r="N1" s="54"/>
    </row>
    <row r="2" spans="1:14" ht="21">
      <c r="A2" s="238" t="s">
        <v>81</v>
      </c>
      <c r="B2" s="238"/>
      <c r="C2" s="238"/>
      <c r="D2" s="238"/>
      <c r="E2" s="238"/>
      <c r="F2" s="238"/>
      <c r="G2" s="238"/>
      <c r="H2" s="238"/>
      <c r="I2" s="238"/>
      <c r="J2" s="54"/>
      <c r="K2" s="54"/>
      <c r="L2" s="54"/>
      <c r="M2" s="54"/>
      <c r="N2" s="54"/>
    </row>
    <row r="4" spans="1:14" ht="16.5">
      <c r="A4" s="239" t="str">
        <f>'Input &amp; Output'!A4:N4</f>
        <v>intersection</v>
      </c>
      <c r="B4" s="239"/>
      <c r="C4" s="239"/>
      <c r="D4" s="239"/>
      <c r="E4" s="239"/>
      <c r="F4" s="239"/>
      <c r="G4" s="239"/>
      <c r="H4" s="239"/>
      <c r="I4" s="239"/>
      <c r="J4" s="55"/>
      <c r="K4" s="55"/>
      <c r="L4" s="55"/>
      <c r="M4" s="55"/>
      <c r="N4" s="55"/>
    </row>
    <row r="5" spans="1:14" ht="16.5">
      <c r="A5" s="239" t="str">
        <f>Period3</f>
        <v>yr2 AM</v>
      </c>
      <c r="B5" s="239"/>
      <c r="C5" s="239"/>
      <c r="D5" s="239"/>
      <c r="E5" s="239"/>
      <c r="F5" s="239"/>
      <c r="G5" s="239"/>
      <c r="H5" s="239"/>
      <c r="I5" s="239"/>
      <c r="J5" s="55"/>
      <c r="K5" s="55"/>
      <c r="L5" s="55"/>
      <c r="M5" s="55"/>
      <c r="N5" s="55"/>
    </row>
    <row r="6" ht="13.5" thickBot="1"/>
    <row r="7" spans="1:9" ht="12.75">
      <c r="A7" s="1"/>
      <c r="B7" s="262" t="str">
        <f>NB</f>
        <v>NB approach</v>
      </c>
      <c r="C7" s="262"/>
      <c r="D7" s="262" t="str">
        <f>SB</f>
        <v>SB approach</v>
      </c>
      <c r="E7" s="262"/>
      <c r="F7" s="262" t="str">
        <f>EB</f>
        <v>EB approach</v>
      </c>
      <c r="G7" s="262"/>
      <c r="H7" s="262" t="str">
        <f>WB</f>
        <v>WB approach</v>
      </c>
      <c r="I7" s="263"/>
    </row>
    <row r="8" spans="1:9" ht="40.5" customHeight="1">
      <c r="A8" s="2"/>
      <c r="B8" s="144" t="s">
        <v>24</v>
      </c>
      <c r="C8" s="145" t="s">
        <v>25</v>
      </c>
      <c r="D8" s="144" t="s">
        <v>26</v>
      </c>
      <c r="E8" s="146" t="s">
        <v>27</v>
      </c>
      <c r="F8" s="144" t="s">
        <v>28</v>
      </c>
      <c r="G8" s="146" t="s">
        <v>29</v>
      </c>
      <c r="H8" s="147" t="s">
        <v>30</v>
      </c>
      <c r="I8" s="148" t="s">
        <v>31</v>
      </c>
    </row>
    <row r="9" spans="1:9" ht="27" customHeight="1">
      <c r="A9" s="111" t="s">
        <v>34</v>
      </c>
      <c r="B9" s="106" t="s">
        <v>45</v>
      </c>
      <c r="C9" s="107" t="s">
        <v>46</v>
      </c>
      <c r="D9" s="106" t="s">
        <v>45</v>
      </c>
      <c r="E9" s="108" t="s">
        <v>46</v>
      </c>
      <c r="F9" s="106" t="s">
        <v>45</v>
      </c>
      <c r="G9" s="108" t="s">
        <v>46</v>
      </c>
      <c r="H9" s="109" t="s">
        <v>45</v>
      </c>
      <c r="I9" s="110" t="s">
        <v>46</v>
      </c>
    </row>
    <row r="10" spans="1:9" ht="30" customHeight="1">
      <c r="A10" s="112" t="s">
        <v>15</v>
      </c>
      <c r="B10" s="78">
        <f aca="true" t="shared" si="0" ref="B10:I10">B56</f>
        <v>0</v>
      </c>
      <c r="C10" s="90">
        <f t="shared" si="0"/>
        <v>0</v>
      </c>
      <c r="D10" s="78">
        <f t="shared" si="0"/>
        <v>0</v>
      </c>
      <c r="E10" s="101">
        <f t="shared" si="0"/>
        <v>0</v>
      </c>
      <c r="F10" s="78">
        <f t="shared" si="0"/>
        <v>0</v>
      </c>
      <c r="G10" s="101">
        <f t="shared" si="0"/>
        <v>0</v>
      </c>
      <c r="H10" s="95">
        <f t="shared" si="0"/>
        <v>0</v>
      </c>
      <c r="I10" s="79">
        <f t="shared" si="0"/>
        <v>0</v>
      </c>
    </row>
    <row r="11" spans="1:9" ht="12.75">
      <c r="A11" s="112" t="s">
        <v>16</v>
      </c>
      <c r="B11" s="80" t="str">
        <f>IF(B10&gt;=C10,"*","")</f>
        <v>*</v>
      </c>
      <c r="C11" s="91" t="str">
        <f>IF(C10&gt;=B10,"*","")</f>
        <v>*</v>
      </c>
      <c r="D11" s="80" t="str">
        <f>IF(D10&gt;=E10,"*","")</f>
        <v>*</v>
      </c>
      <c r="E11" s="102" t="str">
        <f>IF(E10&gt;=D10,"*","")</f>
        <v>*</v>
      </c>
      <c r="F11" s="80" t="str">
        <f>IF(F10&gt;=G10,"*","")</f>
        <v>*</v>
      </c>
      <c r="G11" s="102" t="str">
        <f>IF(G10&gt;=F10,"*","")</f>
        <v>*</v>
      </c>
      <c r="H11" s="96" t="str">
        <f>IF(H10&gt;=I10,"*","")</f>
        <v>*</v>
      </c>
      <c r="I11" s="81" t="str">
        <f>IF(I10&gt;=H10,"*","")</f>
        <v>*</v>
      </c>
    </row>
    <row r="12" spans="1:9" ht="56.25" customHeight="1">
      <c r="A12" s="112" t="s">
        <v>32</v>
      </c>
      <c r="B12" s="78">
        <f>IF(B11="*",(1130*EXP(-0.0007*F43)),"")</f>
        <v>1130</v>
      </c>
      <c r="C12" s="90">
        <f>IF(C11="*",(1130*EXP(-0.0007*F43)),"")</f>
        <v>1130</v>
      </c>
      <c r="D12" s="78">
        <f>IF(D11="*",(1130*EXP(-0.0007*F44)),"")</f>
        <v>1130</v>
      </c>
      <c r="E12" s="101">
        <f>IF(E11="*",(1130*EXP(-0.0007*F44)),"")</f>
        <v>1130</v>
      </c>
      <c r="F12" s="78">
        <f>IF(F11="*",(1130*EXP(-0.0007*F45)),"")</f>
        <v>1130</v>
      </c>
      <c r="G12" s="101">
        <f>IF(G11="*",(1130*EXP(-0.0007*F45)),"")</f>
        <v>1130</v>
      </c>
      <c r="H12" s="95">
        <f>IF(H11="*",(1130*EXP(-0.0007*F46)),"")</f>
        <v>1130</v>
      </c>
      <c r="I12" s="79">
        <f>IF(I11="*",(1130*EXP(-0.0007*F46)),"")</f>
        <v>1130</v>
      </c>
    </row>
    <row r="13" spans="1:9" ht="54.75" customHeight="1">
      <c r="A13" s="112" t="s">
        <v>17</v>
      </c>
      <c r="B13" s="78">
        <f>IF(B11="",(1130*EXP(-0.0007*F43)),"")</f>
      </c>
      <c r="C13" s="90">
        <f>IF(C11="",(1130*EXP(-0.0007*F43)),"")</f>
      </c>
      <c r="D13" s="78">
        <f>IF(D11="",(1130*EXP(-0.0007*F44)),"")</f>
      </c>
      <c r="E13" s="101">
        <f>IF(E11="",(1130*EXP(-0.0007*F44)),"")</f>
      </c>
      <c r="F13" s="78">
        <f>IF(F11="",(1130*EXP(-0.0007*F45)),"")</f>
      </c>
      <c r="G13" s="101">
        <f>IF(G11="",(1130*EXP(-0.0007*F45)),"")</f>
      </c>
      <c r="H13" s="95">
        <f>IF(H11="",(1130*EXP(-0.0007*F46)),"")</f>
      </c>
      <c r="I13" s="79">
        <f>IF(I11="",(1130*EXP(-0.0007*F46)),"")</f>
      </c>
    </row>
    <row r="14" spans="1:9" ht="16.5" customHeight="1">
      <c r="A14" s="112" t="s">
        <v>18</v>
      </c>
      <c r="B14" s="82">
        <f aca="true" t="shared" si="1" ref="B14:I14">B10/MAX(B12:B13)</f>
        <v>0</v>
      </c>
      <c r="C14" s="92">
        <f t="shared" si="1"/>
        <v>0</v>
      </c>
      <c r="D14" s="82">
        <f t="shared" si="1"/>
        <v>0</v>
      </c>
      <c r="E14" s="103">
        <f t="shared" si="1"/>
        <v>0</v>
      </c>
      <c r="F14" s="82">
        <f t="shared" si="1"/>
        <v>0</v>
      </c>
      <c r="G14" s="103">
        <f t="shared" si="1"/>
        <v>0</v>
      </c>
      <c r="H14" s="97">
        <f t="shared" si="1"/>
        <v>0</v>
      </c>
      <c r="I14" s="83">
        <f t="shared" si="1"/>
        <v>0</v>
      </c>
    </row>
    <row r="15" spans="1:9" ht="36.75" customHeight="1">
      <c r="A15" s="112" t="s">
        <v>19</v>
      </c>
      <c r="B15" s="84">
        <f aca="true" t="shared" si="2" ref="B15:I15">3600/MAX(B12:B13)+900*0.25*(B14-1+((B14-1)^2+((3600/MAX(B12:B13))*B14)/(450*0.25))^0.5)</f>
        <v>3.185840707964602</v>
      </c>
      <c r="C15" s="93">
        <f t="shared" si="2"/>
        <v>3.185840707964602</v>
      </c>
      <c r="D15" s="84">
        <f t="shared" si="2"/>
        <v>3.185840707964602</v>
      </c>
      <c r="E15" s="104">
        <f t="shared" si="2"/>
        <v>3.185840707964602</v>
      </c>
      <c r="F15" s="84">
        <f t="shared" si="2"/>
        <v>3.185840707964602</v>
      </c>
      <c r="G15" s="104">
        <f t="shared" si="2"/>
        <v>3.185840707964602</v>
      </c>
      <c r="H15" s="98">
        <f t="shared" si="2"/>
        <v>3.185840707964602</v>
      </c>
      <c r="I15" s="85">
        <f t="shared" si="2"/>
        <v>3.185840707964602</v>
      </c>
    </row>
    <row r="16" spans="1:9" ht="12.75">
      <c r="A16" s="112" t="s">
        <v>20</v>
      </c>
      <c r="B16" s="86" t="str">
        <f aca="true" t="shared" si="3" ref="B16:I16">IF(B15&lt;=10,"A",(IF(B15&lt;=15,"B",(IF(B15&lt;=25,"C",(IF(B15&lt;=35,"D",(IF(B15&lt;=50,"E","F")))))))))</f>
        <v>A</v>
      </c>
      <c r="C16" s="94" t="str">
        <f t="shared" si="3"/>
        <v>A</v>
      </c>
      <c r="D16" s="86" t="str">
        <f t="shared" si="3"/>
        <v>A</v>
      </c>
      <c r="E16" s="105" t="str">
        <f t="shared" si="3"/>
        <v>A</v>
      </c>
      <c r="F16" s="86" t="str">
        <f t="shared" si="3"/>
        <v>A</v>
      </c>
      <c r="G16" s="105" t="str">
        <f t="shared" si="3"/>
        <v>A</v>
      </c>
      <c r="H16" s="99" t="str">
        <f t="shared" si="3"/>
        <v>A</v>
      </c>
      <c r="I16" s="87" t="str">
        <f t="shared" si="3"/>
        <v>A</v>
      </c>
    </row>
    <row r="17" spans="1:9" ht="39.75" customHeight="1">
      <c r="A17" s="112" t="s">
        <v>23</v>
      </c>
      <c r="B17" s="88">
        <f aca="true" t="shared" si="4" ref="B17:I17">IF(B14&gt;=1,"*",900*0.25*(B14-1+((1-B14)^2+((3600/MAX(B12:B13))*B14)/(150*0.25))^0.5)*(MAX(B12:B13)/3600))</f>
        <v>0</v>
      </c>
      <c r="C17" s="44">
        <f t="shared" si="4"/>
        <v>0</v>
      </c>
      <c r="D17" s="88">
        <f t="shared" si="4"/>
        <v>0</v>
      </c>
      <c r="E17" s="45">
        <f t="shared" si="4"/>
        <v>0</v>
      </c>
      <c r="F17" s="88">
        <f t="shared" si="4"/>
        <v>0</v>
      </c>
      <c r="G17" s="45">
        <f t="shared" si="4"/>
        <v>0</v>
      </c>
      <c r="H17" s="100">
        <f t="shared" si="4"/>
        <v>0</v>
      </c>
      <c r="I17" s="89">
        <f t="shared" si="4"/>
        <v>0</v>
      </c>
    </row>
    <row r="18" spans="1:9" ht="39.75" customHeight="1">
      <c r="A18" s="112" t="s">
        <v>21</v>
      </c>
      <c r="B18" s="273" t="e">
        <f>((B10*B15)+(C10*C15))/(B10+C10)</f>
        <v>#DIV/0!</v>
      </c>
      <c r="C18" s="274"/>
      <c r="D18" s="273" t="e">
        <f>((D10*D15)+(E10*E15))/(D10+E10)</f>
        <v>#DIV/0!</v>
      </c>
      <c r="E18" s="278"/>
      <c r="F18" s="273" t="e">
        <f>((F10*F15)+(G10*G15))/(F10+G10)</f>
        <v>#DIV/0!</v>
      </c>
      <c r="G18" s="278"/>
      <c r="H18" s="279" t="e">
        <f>((H10*H15)+(I10*I15))/(H10+I10)</f>
        <v>#DIV/0!</v>
      </c>
      <c r="I18" s="280"/>
    </row>
    <row r="19" spans="1:9" ht="42.75" customHeight="1" thickBot="1">
      <c r="A19" s="113" t="s">
        <v>22</v>
      </c>
      <c r="B19" s="275" t="e">
        <f>((B18*(B10+C10)+D18*(D10+E10)+F18*(F10+G10)+H18*(H10+I10))/SUM(B10:I10))</f>
        <v>#DIV/0!</v>
      </c>
      <c r="C19" s="276"/>
      <c r="D19" s="276"/>
      <c r="E19" s="276"/>
      <c r="F19" s="276"/>
      <c r="G19" s="276"/>
      <c r="H19" s="276"/>
      <c r="I19" s="277"/>
    </row>
    <row r="20" ht="12.75">
      <c r="A20" s="199" t="s">
        <v>99</v>
      </c>
    </row>
    <row r="23" ht="12.75">
      <c r="A23" s="37" t="s">
        <v>64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38</v>
      </c>
    </row>
    <row r="30" ht="12.75">
      <c r="A30" t="s">
        <v>40</v>
      </c>
    </row>
    <row r="31" ht="12.75">
      <c r="A31" t="s">
        <v>43</v>
      </c>
    </row>
    <row r="32" ht="12.75">
      <c r="A32" t="s">
        <v>47</v>
      </c>
    </row>
    <row r="33" ht="12.75">
      <c r="A33" t="s">
        <v>41</v>
      </c>
    </row>
    <row r="34" ht="12.75">
      <c r="A34" t="s">
        <v>42</v>
      </c>
    </row>
    <row r="35" ht="12.75">
      <c r="A35" t="s">
        <v>65</v>
      </c>
    </row>
    <row r="41" spans="1:9" ht="13.5" thickBot="1">
      <c r="A41" s="56"/>
      <c r="B41" s="266" t="s">
        <v>33</v>
      </c>
      <c r="C41" s="266"/>
      <c r="D41" s="266"/>
      <c r="E41" s="266"/>
      <c r="F41" s="56"/>
      <c r="G41" s="119"/>
      <c r="H41" s="119"/>
      <c r="I41" s="119"/>
    </row>
    <row r="42" spans="1:10" ht="12.75">
      <c r="A42" s="73" t="s">
        <v>0</v>
      </c>
      <c r="B42" s="74" t="s">
        <v>14</v>
      </c>
      <c r="C42" s="74" t="s">
        <v>2</v>
      </c>
      <c r="D42" s="74" t="s">
        <v>44</v>
      </c>
      <c r="E42" s="74" t="s">
        <v>4</v>
      </c>
      <c r="F42" s="75" t="s">
        <v>58</v>
      </c>
      <c r="H42" s="143"/>
      <c r="I42" s="143"/>
      <c r="J42" s="141"/>
    </row>
    <row r="43" spans="1:16" ht="12.75">
      <c r="A43" s="76" t="str">
        <f>NB</f>
        <v>NB approach</v>
      </c>
      <c r="B43" s="65">
        <f>'Input &amp; Output'!H21</f>
        <v>0</v>
      </c>
      <c r="C43" s="65">
        <f>'Input &amp; Output'!I21</f>
        <v>0</v>
      </c>
      <c r="D43" s="65">
        <f>'Input &amp; Output'!J21</f>
        <v>0</v>
      </c>
      <c r="E43" s="65">
        <f>'Input &amp; Output'!K21</f>
        <v>0</v>
      </c>
      <c r="F43" s="66">
        <f>'Input &amp; Output'!L21</f>
        <v>0</v>
      </c>
      <c r="G43" s="142"/>
      <c r="H43" s="143"/>
      <c r="I43" s="143"/>
      <c r="J43" s="141"/>
      <c r="K43" s="40"/>
      <c r="L43" s="40"/>
      <c r="M43" s="40"/>
      <c r="N43" s="40"/>
      <c r="O43" s="40"/>
      <c r="P43" s="40"/>
    </row>
    <row r="44" spans="1:16" ht="12.75">
      <c r="A44" s="76" t="str">
        <f>SB</f>
        <v>SB approach</v>
      </c>
      <c r="B44" s="65">
        <f>'Input &amp; Output'!H22</f>
        <v>0</v>
      </c>
      <c r="C44" s="65">
        <f>'Input &amp; Output'!I22</f>
        <v>0</v>
      </c>
      <c r="D44" s="65">
        <f>'Input &amp; Output'!J22</f>
        <v>0</v>
      </c>
      <c r="E44" s="65">
        <f>'Input &amp; Output'!K22</f>
        <v>0</v>
      </c>
      <c r="F44" s="66">
        <f>'Input &amp; Output'!L22</f>
        <v>0</v>
      </c>
      <c r="G44" s="142" t="s">
        <v>76</v>
      </c>
      <c r="H44" s="143"/>
      <c r="I44" s="143"/>
      <c r="J44" s="141"/>
      <c r="K44" s="40"/>
      <c r="L44" s="40"/>
      <c r="M44" s="40"/>
      <c r="N44" s="40"/>
      <c r="O44" s="40"/>
      <c r="P44" s="40"/>
    </row>
    <row r="45" spans="1:16" ht="12.75">
      <c r="A45" s="76" t="str">
        <f>EB</f>
        <v>EB approach</v>
      </c>
      <c r="B45" s="65">
        <f>'Input &amp; Output'!H23</f>
        <v>0</v>
      </c>
      <c r="C45" s="65">
        <f>'Input &amp; Output'!I23</f>
        <v>0</v>
      </c>
      <c r="D45" s="65">
        <f>'Input &amp; Output'!J23</f>
        <v>0</v>
      </c>
      <c r="E45" s="65">
        <f>'Input &amp; Output'!K23</f>
        <v>0</v>
      </c>
      <c r="F45" s="66">
        <f>'Input &amp; Output'!L23</f>
        <v>0</v>
      </c>
      <c r="G45" s="142"/>
      <c r="H45" s="143"/>
      <c r="I45" s="143"/>
      <c r="J45" s="141"/>
      <c r="K45" s="40"/>
      <c r="L45" s="40"/>
      <c r="M45" s="40"/>
      <c r="N45" s="40"/>
      <c r="O45" s="40"/>
      <c r="P45" s="40"/>
    </row>
    <row r="46" spans="1:16" ht="13.5" thickBot="1">
      <c r="A46" s="77" t="str">
        <f>WB</f>
        <v>WB approach</v>
      </c>
      <c r="B46" s="71">
        <f>'Input &amp; Output'!H24</f>
        <v>0</v>
      </c>
      <c r="C46" s="71">
        <f>'Input &amp; Output'!I24</f>
        <v>0</v>
      </c>
      <c r="D46" s="71">
        <f>'Input &amp; Output'!J24</f>
        <v>0</v>
      </c>
      <c r="E46" s="71">
        <f>'Input &amp; Output'!K24</f>
        <v>0</v>
      </c>
      <c r="F46" s="72">
        <f>'Input &amp; Output'!L24</f>
        <v>0</v>
      </c>
      <c r="G46" s="142"/>
      <c r="H46" s="143"/>
      <c r="I46" s="143"/>
      <c r="J46" s="141"/>
      <c r="K46" s="40"/>
      <c r="L46" s="40"/>
      <c r="M46" s="40"/>
      <c r="N46" s="40"/>
      <c r="O46" s="40"/>
      <c r="P46" s="40"/>
    </row>
    <row r="47" spans="1:9" ht="12.75">
      <c r="A47" s="56"/>
      <c r="B47" s="58"/>
      <c r="C47" s="58"/>
      <c r="D47" s="58"/>
      <c r="E47" s="58"/>
      <c r="F47" s="57"/>
      <c r="G47" s="57"/>
      <c r="H47" s="57"/>
      <c r="I47" s="57"/>
    </row>
    <row r="48" spans="1:9" ht="13.5" thickBot="1">
      <c r="A48" s="266" t="s">
        <v>83</v>
      </c>
      <c r="B48" s="266"/>
      <c r="C48" s="266"/>
      <c r="D48" s="266"/>
      <c r="E48" s="266"/>
      <c r="F48" s="266"/>
      <c r="G48" s="266"/>
      <c r="H48" s="266"/>
      <c r="I48" s="266"/>
    </row>
    <row r="49" spans="1:9" ht="12.75">
      <c r="A49" s="60" t="s">
        <v>0</v>
      </c>
      <c r="B49" s="267" t="s">
        <v>53</v>
      </c>
      <c r="C49" s="268"/>
      <c r="D49" s="269" t="s">
        <v>54</v>
      </c>
      <c r="E49" s="270"/>
      <c r="F49" s="271" t="s">
        <v>55</v>
      </c>
      <c r="G49" s="272"/>
      <c r="H49" s="264" t="s">
        <v>56</v>
      </c>
      <c r="I49" s="265"/>
    </row>
    <row r="50" spans="1:10" ht="12.75">
      <c r="A50" s="61" t="s">
        <v>34</v>
      </c>
      <c r="B50" s="62" t="s">
        <v>45</v>
      </c>
      <c r="C50" s="121" t="s">
        <v>46</v>
      </c>
      <c r="D50" s="129" t="s">
        <v>45</v>
      </c>
      <c r="E50" s="130" t="s">
        <v>46</v>
      </c>
      <c r="F50" s="129" t="s">
        <v>45</v>
      </c>
      <c r="G50" s="130" t="s">
        <v>46</v>
      </c>
      <c r="H50" s="125" t="s">
        <v>45</v>
      </c>
      <c r="I50" s="63" t="s">
        <v>46</v>
      </c>
      <c r="J50" s="59" t="s">
        <v>66</v>
      </c>
    </row>
    <row r="51" spans="1:10" ht="12.75">
      <c r="A51" s="64" t="s">
        <v>49</v>
      </c>
      <c r="B51" s="65">
        <f>SUM(B43:C43)</f>
        <v>0</v>
      </c>
      <c r="C51" s="122">
        <f>E43</f>
        <v>0</v>
      </c>
      <c r="D51" s="131">
        <f>SUM(B44:C44)</f>
        <v>0</v>
      </c>
      <c r="E51" s="132">
        <f>E44</f>
        <v>0</v>
      </c>
      <c r="F51" s="131">
        <f>SUM(B45:C45)</f>
        <v>0</v>
      </c>
      <c r="G51" s="132">
        <f>E45</f>
        <v>0</v>
      </c>
      <c r="H51" s="126">
        <f>SUM(B46:C46)</f>
        <v>0</v>
      </c>
      <c r="I51" s="66">
        <f>E46</f>
        <v>0</v>
      </c>
      <c r="J51" s="40" t="s">
        <v>59</v>
      </c>
    </row>
    <row r="52" spans="1:10" ht="29.25" customHeight="1">
      <c r="A52" s="67" t="s">
        <v>48</v>
      </c>
      <c r="B52" s="68">
        <f>IF(B51-C51&lt;=0,C51-B51,0)</f>
        <v>0</v>
      </c>
      <c r="C52" s="123">
        <f>IF(C51-B51&lt;=0,B51-C51,0)</f>
        <v>0</v>
      </c>
      <c r="D52" s="133">
        <f>IF(D51-E51&lt;=0,E51-D51,0)</f>
        <v>0</v>
      </c>
      <c r="E52" s="134">
        <f>IF(E51-D51&lt;=0,D51-E51,0)</f>
        <v>0</v>
      </c>
      <c r="F52" s="133">
        <f>IF(F51-G51&lt;=0,G51-F51,0)</f>
        <v>0</v>
      </c>
      <c r="G52" s="134">
        <f>IF(G51-F51&lt;=0,F51-G51,0)</f>
        <v>0</v>
      </c>
      <c r="H52" s="127">
        <f>IF(H51-I51&lt;=0,I51-H51,0)</f>
        <v>0</v>
      </c>
      <c r="I52" s="69">
        <f>IF(I51-H51&lt;=0,H51-I51,0)</f>
        <v>0</v>
      </c>
      <c r="J52" s="40" t="s">
        <v>74</v>
      </c>
    </row>
    <row r="53" spans="1:10" ht="29.25" customHeight="1">
      <c r="A53" s="67" t="s">
        <v>52</v>
      </c>
      <c r="B53" s="68">
        <f>MIN(B52,D43)</f>
        <v>0</v>
      </c>
      <c r="C53" s="123">
        <f>MIN(C52,D43)</f>
        <v>0</v>
      </c>
      <c r="D53" s="133">
        <f>MIN(D52,D44)</f>
        <v>0</v>
      </c>
      <c r="E53" s="134">
        <f>MIN(E52,D44)</f>
        <v>0</v>
      </c>
      <c r="F53" s="133">
        <f>MIN(F52,D45)</f>
        <v>0</v>
      </c>
      <c r="G53" s="134">
        <f>MIN(G52,D45)</f>
        <v>0</v>
      </c>
      <c r="H53" s="127">
        <f>MIN(H52,D46)</f>
        <v>0</v>
      </c>
      <c r="I53" s="69">
        <f>MIN(I52,D46)</f>
        <v>0</v>
      </c>
      <c r="J53" s="40" t="s">
        <v>60</v>
      </c>
    </row>
    <row r="54" spans="1:10" ht="77.25" customHeight="1">
      <c r="A54" s="67" t="s">
        <v>57</v>
      </c>
      <c r="B54" s="68">
        <f>IF(B52&gt;0,IF(B52&lt;=D43,D43-B52,0),0)</f>
        <v>0</v>
      </c>
      <c r="C54" s="123">
        <f>IF(C52&gt;0,IF(C52&lt;=D43,D43-C52,0),0)</f>
        <v>0</v>
      </c>
      <c r="D54" s="133">
        <f>IF(D52&gt;0,IF(D52&lt;=D44,D44-D52,0),0)</f>
        <v>0</v>
      </c>
      <c r="E54" s="134">
        <f>IF(E52&gt;0,IF(E52&lt;=D44,D44-E52,0),0)</f>
        <v>0</v>
      </c>
      <c r="F54" s="133">
        <f>IF(F52&gt;0,IF(F52&lt;=D45,D45-F52,0),0)</f>
        <v>0</v>
      </c>
      <c r="G54" s="134">
        <f>IF(G52&gt;0,IF(G52&lt;=D45,D45-G52,0),0)</f>
        <v>0</v>
      </c>
      <c r="H54" s="127">
        <f>IF(H52&gt;0,IF(H52&lt;=D46,D46-H52,0),0)</f>
        <v>0</v>
      </c>
      <c r="I54" s="69">
        <f>IF(I52&gt;0,IF(I52&lt;=D46,D46-I52,0),0)</f>
        <v>0</v>
      </c>
      <c r="J54" s="40" t="s">
        <v>61</v>
      </c>
    </row>
    <row r="55" spans="1:10" ht="38.25">
      <c r="A55" s="67" t="s">
        <v>50</v>
      </c>
      <c r="B55" s="68">
        <f>0.5*MAX(B54:C54)</f>
        <v>0</v>
      </c>
      <c r="C55" s="123">
        <f>0.5*MAX(B54:C54)</f>
        <v>0</v>
      </c>
      <c r="D55" s="133">
        <f>0.5*MAX(D54:E54)</f>
        <v>0</v>
      </c>
      <c r="E55" s="134">
        <f>0.5*MAX(D54:E54)</f>
        <v>0</v>
      </c>
      <c r="F55" s="133">
        <f>0.5*MAX(F54:G54)</f>
        <v>0</v>
      </c>
      <c r="G55" s="134">
        <f>0.5*MAX(F54:G54)</f>
        <v>0</v>
      </c>
      <c r="H55" s="127">
        <f>0.5*MAX(H54:I54)</f>
        <v>0</v>
      </c>
      <c r="I55" s="69">
        <f>0.5*MAX(H54:I54)</f>
        <v>0</v>
      </c>
      <c r="J55" s="40" t="s">
        <v>62</v>
      </c>
    </row>
    <row r="56" spans="1:10" ht="13.5" thickBot="1">
      <c r="A56" s="70" t="s">
        <v>51</v>
      </c>
      <c r="B56" s="71">
        <f aca="true" t="shared" si="5" ref="B56:I56">B51+B53+B55</f>
        <v>0</v>
      </c>
      <c r="C56" s="124">
        <f t="shared" si="5"/>
        <v>0</v>
      </c>
      <c r="D56" s="135">
        <f t="shared" si="5"/>
        <v>0</v>
      </c>
      <c r="E56" s="136">
        <f t="shared" si="5"/>
        <v>0</v>
      </c>
      <c r="F56" s="135">
        <f t="shared" si="5"/>
        <v>0</v>
      </c>
      <c r="G56" s="136">
        <f t="shared" si="5"/>
        <v>0</v>
      </c>
      <c r="H56" s="128">
        <f t="shared" si="5"/>
        <v>0</v>
      </c>
      <c r="I56" s="72">
        <f t="shared" si="5"/>
        <v>0</v>
      </c>
      <c r="J56" s="40" t="s">
        <v>82</v>
      </c>
    </row>
    <row r="59" spans="2:3" ht="12.75">
      <c r="B59" s="36"/>
      <c r="C59" s="36"/>
    </row>
  </sheetData>
  <mergeCells count="19">
    <mergeCell ref="B18:C18"/>
    <mergeCell ref="B19:I19"/>
    <mergeCell ref="D18:E18"/>
    <mergeCell ref="F18:G18"/>
    <mergeCell ref="H18:I18"/>
    <mergeCell ref="A5:I5"/>
    <mergeCell ref="H49:I49"/>
    <mergeCell ref="A48:I48"/>
    <mergeCell ref="A1:I1"/>
    <mergeCell ref="A2:I2"/>
    <mergeCell ref="A4:I4"/>
    <mergeCell ref="B49:C49"/>
    <mergeCell ref="D49:E49"/>
    <mergeCell ref="F49:G49"/>
    <mergeCell ref="B41:E41"/>
    <mergeCell ref="H7:I7"/>
    <mergeCell ref="B7:C7"/>
    <mergeCell ref="D7:E7"/>
    <mergeCell ref="F7:G7"/>
  </mergeCells>
  <conditionalFormatting sqref="B14:I14">
    <cfRule type="cellIs" priority="1" dxfId="0" operator="lessThan" stopIfTrue="1">
      <formula>0.85</formula>
    </cfRule>
    <cfRule type="cellIs" priority="2" dxfId="1" operator="between" stopIfTrue="1">
      <formula>0.85</formula>
      <formula>1</formula>
    </cfRule>
    <cfRule type="cellIs" priority="3" dxfId="2" operator="greaterThanOrEqual" stopIfTrue="1">
      <formula>1</formula>
    </cfRule>
  </conditionalFormatting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L12" sqref="L12"/>
    </sheetView>
  </sheetViews>
  <sheetFormatPr defaultColWidth="9.140625" defaultRowHeight="12.75"/>
  <cols>
    <col min="1" max="1" width="13.28125" style="0" customWidth="1"/>
    <col min="2" max="9" width="8.7109375" style="0" customWidth="1"/>
    <col min="14" max="14" width="16.28125" style="0" customWidth="1"/>
  </cols>
  <sheetData>
    <row r="1" spans="1:14" ht="21">
      <c r="A1" s="238" t="str">
        <f>'Input &amp; Output'!A1:N1</f>
        <v>project name and number</v>
      </c>
      <c r="B1" s="238"/>
      <c r="C1" s="238"/>
      <c r="D1" s="238"/>
      <c r="E1" s="238"/>
      <c r="F1" s="238"/>
      <c r="G1" s="238"/>
      <c r="H1" s="238"/>
      <c r="I1" s="238"/>
      <c r="J1" s="54"/>
      <c r="K1" s="54"/>
      <c r="L1" s="54"/>
      <c r="M1" s="54"/>
      <c r="N1" s="54"/>
    </row>
    <row r="2" spans="1:14" ht="21">
      <c r="A2" s="238" t="s">
        <v>81</v>
      </c>
      <c r="B2" s="238"/>
      <c r="C2" s="238"/>
      <c r="D2" s="238"/>
      <c r="E2" s="238"/>
      <c r="F2" s="238"/>
      <c r="G2" s="238"/>
      <c r="H2" s="238"/>
      <c r="I2" s="238"/>
      <c r="J2" s="54"/>
      <c r="K2" s="54"/>
      <c r="L2" s="54"/>
      <c r="M2" s="54"/>
      <c r="N2" s="54"/>
    </row>
    <row r="4" spans="1:14" ht="16.5">
      <c r="A4" s="239" t="str">
        <f>'Input &amp; Output'!A4:N4</f>
        <v>intersection</v>
      </c>
      <c r="B4" s="239"/>
      <c r="C4" s="239"/>
      <c r="D4" s="239"/>
      <c r="E4" s="239"/>
      <c r="F4" s="239"/>
      <c r="G4" s="239"/>
      <c r="H4" s="239"/>
      <c r="I4" s="239"/>
      <c r="J4" s="55"/>
      <c r="K4" s="55"/>
      <c r="L4" s="55"/>
      <c r="M4" s="55"/>
      <c r="N4" s="55"/>
    </row>
    <row r="5" spans="1:14" ht="16.5">
      <c r="A5" s="239" t="str">
        <f>Period4</f>
        <v>yr2 PM</v>
      </c>
      <c r="B5" s="239"/>
      <c r="C5" s="239"/>
      <c r="D5" s="239"/>
      <c r="E5" s="239"/>
      <c r="F5" s="239"/>
      <c r="G5" s="239"/>
      <c r="H5" s="239"/>
      <c r="I5" s="239"/>
      <c r="J5" s="55"/>
      <c r="K5" s="55"/>
      <c r="L5" s="55"/>
      <c r="M5" s="55"/>
      <c r="N5" s="55"/>
    </row>
    <row r="6" ht="13.5" thickBot="1"/>
    <row r="7" spans="1:9" ht="12.75">
      <c r="A7" s="1"/>
      <c r="B7" s="262" t="str">
        <f>NB</f>
        <v>NB approach</v>
      </c>
      <c r="C7" s="262"/>
      <c r="D7" s="262" t="str">
        <f>SB</f>
        <v>SB approach</v>
      </c>
      <c r="E7" s="262"/>
      <c r="F7" s="262" t="str">
        <f>EB</f>
        <v>EB approach</v>
      </c>
      <c r="G7" s="262"/>
      <c r="H7" s="262" t="str">
        <f>WB</f>
        <v>WB approach</v>
      </c>
      <c r="I7" s="263"/>
    </row>
    <row r="8" spans="1:9" ht="40.5" customHeight="1">
      <c r="A8" s="2"/>
      <c r="B8" s="144" t="s">
        <v>24</v>
      </c>
      <c r="C8" s="145" t="s">
        <v>25</v>
      </c>
      <c r="D8" s="144" t="s">
        <v>26</v>
      </c>
      <c r="E8" s="146" t="s">
        <v>27</v>
      </c>
      <c r="F8" s="144" t="s">
        <v>28</v>
      </c>
      <c r="G8" s="146" t="s">
        <v>29</v>
      </c>
      <c r="H8" s="147" t="s">
        <v>30</v>
      </c>
      <c r="I8" s="148" t="s">
        <v>31</v>
      </c>
    </row>
    <row r="9" spans="1:9" ht="27" customHeight="1">
      <c r="A9" s="111" t="s">
        <v>34</v>
      </c>
      <c r="B9" s="106" t="s">
        <v>45</v>
      </c>
      <c r="C9" s="107" t="s">
        <v>46</v>
      </c>
      <c r="D9" s="106" t="s">
        <v>45</v>
      </c>
      <c r="E9" s="108" t="s">
        <v>46</v>
      </c>
      <c r="F9" s="106" t="s">
        <v>45</v>
      </c>
      <c r="G9" s="108" t="s">
        <v>46</v>
      </c>
      <c r="H9" s="109" t="s">
        <v>45</v>
      </c>
      <c r="I9" s="110" t="s">
        <v>46</v>
      </c>
    </row>
    <row r="10" spans="1:9" ht="30" customHeight="1">
      <c r="A10" s="112" t="s">
        <v>15</v>
      </c>
      <c r="B10" s="78">
        <f aca="true" t="shared" si="0" ref="B10:I10">B56</f>
        <v>0</v>
      </c>
      <c r="C10" s="90">
        <f t="shared" si="0"/>
        <v>0</v>
      </c>
      <c r="D10" s="78">
        <f t="shared" si="0"/>
        <v>0</v>
      </c>
      <c r="E10" s="101">
        <f t="shared" si="0"/>
        <v>0</v>
      </c>
      <c r="F10" s="78">
        <f t="shared" si="0"/>
        <v>0</v>
      </c>
      <c r="G10" s="101">
        <f t="shared" si="0"/>
        <v>0</v>
      </c>
      <c r="H10" s="95">
        <f t="shared" si="0"/>
        <v>0</v>
      </c>
      <c r="I10" s="79">
        <f t="shared" si="0"/>
        <v>0</v>
      </c>
    </row>
    <row r="11" spans="1:9" ht="12.75">
      <c r="A11" s="112" t="s">
        <v>16</v>
      </c>
      <c r="B11" s="80" t="str">
        <f>IF(B10&gt;=C10,"*","")</f>
        <v>*</v>
      </c>
      <c r="C11" s="91" t="str">
        <f>IF(C10&gt;=B10,"*","")</f>
        <v>*</v>
      </c>
      <c r="D11" s="80" t="str">
        <f>IF(D10&gt;=E10,"*","")</f>
        <v>*</v>
      </c>
      <c r="E11" s="102" t="str">
        <f>IF(E10&gt;=D10,"*","")</f>
        <v>*</v>
      </c>
      <c r="F11" s="80" t="str">
        <f>IF(F10&gt;=G10,"*","")</f>
        <v>*</v>
      </c>
      <c r="G11" s="102" t="str">
        <f>IF(G10&gt;=F10,"*","")</f>
        <v>*</v>
      </c>
      <c r="H11" s="96" t="str">
        <f>IF(H10&gt;=I10,"*","")</f>
        <v>*</v>
      </c>
      <c r="I11" s="81" t="str">
        <f>IF(I10&gt;=H10,"*","")</f>
        <v>*</v>
      </c>
    </row>
    <row r="12" spans="1:9" ht="56.25" customHeight="1">
      <c r="A12" s="112" t="s">
        <v>32</v>
      </c>
      <c r="B12" s="78">
        <f>IF(B11="*",(1130*EXP(-0.0007*F43)),"")</f>
        <v>1130</v>
      </c>
      <c r="C12" s="90">
        <f>IF(C11="*",(1130*EXP(-0.0007*F43)),"")</f>
        <v>1130</v>
      </c>
      <c r="D12" s="78">
        <f>IF(D11="*",(1130*EXP(-0.0007*F44)),"")</f>
        <v>1130</v>
      </c>
      <c r="E12" s="101">
        <f>IF(E11="*",(1130*EXP(-0.0007*F44)),"")</f>
        <v>1130</v>
      </c>
      <c r="F12" s="78">
        <f>IF(F11="*",(1130*EXP(-0.0007*F45)),"")</f>
        <v>1130</v>
      </c>
      <c r="G12" s="101">
        <f>IF(G11="*",(1130*EXP(-0.0007*F45)),"")</f>
        <v>1130</v>
      </c>
      <c r="H12" s="95">
        <f>IF(H11="*",(1130*EXP(-0.0007*F46)),"")</f>
        <v>1130</v>
      </c>
      <c r="I12" s="79">
        <f>IF(I11="*",(1130*EXP(-0.0007*F46)),"")</f>
        <v>1130</v>
      </c>
    </row>
    <row r="13" spans="1:9" ht="54.75" customHeight="1">
      <c r="A13" s="112" t="s">
        <v>17</v>
      </c>
      <c r="B13" s="78">
        <f>IF(B11="",(1130*EXP(-0.0007*F43)),"")</f>
      </c>
      <c r="C13" s="90">
        <f>IF(C11="",(1130*EXP(-0.0007*F43)),"")</f>
      </c>
      <c r="D13" s="78">
        <f>IF(D11="",(1130*EXP(-0.0007*F44)),"")</f>
      </c>
      <c r="E13" s="101">
        <f>IF(E11="",(1130*EXP(-0.0007*F44)),"")</f>
      </c>
      <c r="F13" s="78">
        <f>IF(F11="",(1130*EXP(-0.0007*F45)),"")</f>
      </c>
      <c r="G13" s="101">
        <f>IF(G11="",(1130*EXP(-0.0007*F45)),"")</f>
      </c>
      <c r="H13" s="95">
        <f>IF(H11="",(1130*EXP(-0.0007*F46)),"")</f>
      </c>
      <c r="I13" s="79">
        <f>IF(I11="",(1130*EXP(-0.0007*F46)),"")</f>
      </c>
    </row>
    <row r="14" spans="1:9" ht="16.5" customHeight="1">
      <c r="A14" s="112" t="s">
        <v>18</v>
      </c>
      <c r="B14" s="82">
        <f aca="true" t="shared" si="1" ref="B14:I14">B10/MAX(B12:B13)</f>
        <v>0</v>
      </c>
      <c r="C14" s="92">
        <f t="shared" si="1"/>
        <v>0</v>
      </c>
      <c r="D14" s="82">
        <f t="shared" si="1"/>
        <v>0</v>
      </c>
      <c r="E14" s="103">
        <f t="shared" si="1"/>
        <v>0</v>
      </c>
      <c r="F14" s="82">
        <f t="shared" si="1"/>
        <v>0</v>
      </c>
      <c r="G14" s="103">
        <f t="shared" si="1"/>
        <v>0</v>
      </c>
      <c r="H14" s="97">
        <f t="shared" si="1"/>
        <v>0</v>
      </c>
      <c r="I14" s="83">
        <f t="shared" si="1"/>
        <v>0</v>
      </c>
    </row>
    <row r="15" spans="1:9" ht="36.75" customHeight="1">
      <c r="A15" s="112" t="s">
        <v>19</v>
      </c>
      <c r="B15" s="84">
        <f aca="true" t="shared" si="2" ref="B15:I15">3600/MAX(B12:B13)+900*0.25*(B14-1+((B14-1)^2+((3600/MAX(B12:B13))*B14)/(450*0.25))^0.5)</f>
        <v>3.185840707964602</v>
      </c>
      <c r="C15" s="93">
        <f t="shared" si="2"/>
        <v>3.185840707964602</v>
      </c>
      <c r="D15" s="84">
        <f t="shared" si="2"/>
        <v>3.185840707964602</v>
      </c>
      <c r="E15" s="104">
        <f t="shared" si="2"/>
        <v>3.185840707964602</v>
      </c>
      <c r="F15" s="84">
        <f t="shared" si="2"/>
        <v>3.185840707964602</v>
      </c>
      <c r="G15" s="104">
        <f t="shared" si="2"/>
        <v>3.185840707964602</v>
      </c>
      <c r="H15" s="98">
        <f t="shared" si="2"/>
        <v>3.185840707964602</v>
      </c>
      <c r="I15" s="85">
        <f t="shared" si="2"/>
        <v>3.185840707964602</v>
      </c>
    </row>
    <row r="16" spans="1:9" ht="12.75">
      <c r="A16" s="112" t="s">
        <v>20</v>
      </c>
      <c r="B16" s="86" t="str">
        <f aca="true" t="shared" si="3" ref="B16:I16">IF(B15&lt;=10,"A",(IF(B15&lt;=15,"B",(IF(B15&lt;=25,"C",(IF(B15&lt;=35,"D",(IF(B15&lt;=50,"E","F")))))))))</f>
        <v>A</v>
      </c>
      <c r="C16" s="94" t="str">
        <f t="shared" si="3"/>
        <v>A</v>
      </c>
      <c r="D16" s="86" t="str">
        <f t="shared" si="3"/>
        <v>A</v>
      </c>
      <c r="E16" s="105" t="str">
        <f t="shared" si="3"/>
        <v>A</v>
      </c>
      <c r="F16" s="86" t="str">
        <f t="shared" si="3"/>
        <v>A</v>
      </c>
      <c r="G16" s="105" t="str">
        <f t="shared" si="3"/>
        <v>A</v>
      </c>
      <c r="H16" s="99" t="str">
        <f t="shared" si="3"/>
        <v>A</v>
      </c>
      <c r="I16" s="87" t="str">
        <f t="shared" si="3"/>
        <v>A</v>
      </c>
    </row>
    <row r="17" spans="1:9" ht="39.75" customHeight="1">
      <c r="A17" s="112" t="s">
        <v>23</v>
      </c>
      <c r="B17" s="88">
        <f aca="true" t="shared" si="4" ref="B17:I17">IF(B14&gt;=1,"*",900*0.25*(B14-1+((1-B14)^2+((3600/MAX(B12:B13))*B14)/(150*0.25))^0.5)*(MAX(B12:B13)/3600))</f>
        <v>0</v>
      </c>
      <c r="C17" s="44">
        <f t="shared" si="4"/>
        <v>0</v>
      </c>
      <c r="D17" s="88">
        <f t="shared" si="4"/>
        <v>0</v>
      </c>
      <c r="E17" s="45">
        <f t="shared" si="4"/>
        <v>0</v>
      </c>
      <c r="F17" s="88">
        <f t="shared" si="4"/>
        <v>0</v>
      </c>
      <c r="G17" s="45">
        <f t="shared" si="4"/>
        <v>0</v>
      </c>
      <c r="H17" s="100">
        <f t="shared" si="4"/>
        <v>0</v>
      </c>
      <c r="I17" s="89">
        <f t="shared" si="4"/>
        <v>0</v>
      </c>
    </row>
    <row r="18" spans="1:9" ht="39.75" customHeight="1">
      <c r="A18" s="112" t="s">
        <v>21</v>
      </c>
      <c r="B18" s="273" t="e">
        <f>((B10*B15)+(C10*C15))/(B10+C10)</f>
        <v>#DIV/0!</v>
      </c>
      <c r="C18" s="274"/>
      <c r="D18" s="273" t="e">
        <f>((D10*D15)+(E10*E15))/(D10+E10)</f>
        <v>#DIV/0!</v>
      </c>
      <c r="E18" s="278"/>
      <c r="F18" s="273" t="e">
        <f>((F10*F15)+(G10*G15))/(F10+G10)</f>
        <v>#DIV/0!</v>
      </c>
      <c r="G18" s="278"/>
      <c r="H18" s="279" t="e">
        <f>((H10*H15)+(I10*I15))/(H10+I10)</f>
        <v>#DIV/0!</v>
      </c>
      <c r="I18" s="280"/>
    </row>
    <row r="19" spans="1:9" ht="42.75" customHeight="1" thickBot="1">
      <c r="A19" s="113" t="s">
        <v>22</v>
      </c>
      <c r="B19" s="275" t="e">
        <f>((B18*(B10+C10)+D18*(D10+E10)+F18*(F10+G10)+H18*(H10+I10))/SUM(B10:I10))</f>
        <v>#DIV/0!</v>
      </c>
      <c r="C19" s="276"/>
      <c r="D19" s="276"/>
      <c r="E19" s="276"/>
      <c r="F19" s="276"/>
      <c r="G19" s="276"/>
      <c r="H19" s="276"/>
      <c r="I19" s="277"/>
    </row>
    <row r="20" ht="12.75">
      <c r="A20" s="199" t="s">
        <v>99</v>
      </c>
    </row>
    <row r="23" ht="12.75">
      <c r="A23" s="37" t="s">
        <v>64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38</v>
      </c>
    </row>
    <row r="30" ht="12.75">
      <c r="A30" t="s">
        <v>40</v>
      </c>
    </row>
    <row r="31" ht="12.75">
      <c r="A31" t="s">
        <v>43</v>
      </c>
    </row>
    <row r="32" ht="12.75">
      <c r="A32" t="s">
        <v>47</v>
      </c>
    </row>
    <row r="33" ht="12.75">
      <c r="A33" t="s">
        <v>41</v>
      </c>
    </row>
    <row r="34" ht="12.75">
      <c r="A34" t="s">
        <v>42</v>
      </c>
    </row>
    <row r="35" ht="12.75">
      <c r="A35" t="s">
        <v>65</v>
      </c>
    </row>
    <row r="41" spans="1:9" ht="13.5" thickBot="1">
      <c r="A41" s="56"/>
      <c r="B41" s="266" t="s">
        <v>33</v>
      </c>
      <c r="C41" s="266"/>
      <c r="D41" s="266"/>
      <c r="E41" s="266"/>
      <c r="F41" s="56"/>
      <c r="G41" s="119"/>
      <c r="H41" s="119"/>
      <c r="I41" s="119"/>
    </row>
    <row r="42" spans="1:10" ht="12.75">
      <c r="A42" s="73" t="s">
        <v>0</v>
      </c>
      <c r="B42" s="74" t="s">
        <v>14</v>
      </c>
      <c r="C42" s="74" t="s">
        <v>2</v>
      </c>
      <c r="D42" s="74" t="s">
        <v>44</v>
      </c>
      <c r="E42" s="74" t="s">
        <v>4</v>
      </c>
      <c r="F42" s="75" t="s">
        <v>58</v>
      </c>
      <c r="H42" s="143"/>
      <c r="I42" s="143"/>
      <c r="J42" s="141"/>
    </row>
    <row r="43" spans="1:16" ht="12.75">
      <c r="A43" s="76" t="str">
        <f>NB</f>
        <v>NB approach</v>
      </c>
      <c r="B43" s="65">
        <f>'Input &amp; Output'!H27</f>
        <v>0</v>
      </c>
      <c r="C43" s="65">
        <f>'Input &amp; Output'!I27</f>
        <v>0</v>
      </c>
      <c r="D43" s="65">
        <f>'Input &amp; Output'!J27</f>
        <v>0</v>
      </c>
      <c r="E43" s="65">
        <f>'Input &amp; Output'!K27</f>
        <v>0</v>
      </c>
      <c r="F43" s="66">
        <f>'Input &amp; Output'!L27</f>
        <v>0</v>
      </c>
      <c r="G43" s="142"/>
      <c r="H43" s="143"/>
      <c r="I43" s="143"/>
      <c r="J43" s="141"/>
      <c r="K43" s="40"/>
      <c r="L43" s="40"/>
      <c r="M43" s="40"/>
      <c r="N43" s="40"/>
      <c r="O43" s="40"/>
      <c r="P43" s="40"/>
    </row>
    <row r="44" spans="1:16" ht="12.75">
      <c r="A44" s="76" t="str">
        <f>SB</f>
        <v>SB approach</v>
      </c>
      <c r="B44" s="65">
        <f>'Input &amp; Output'!H28</f>
        <v>0</v>
      </c>
      <c r="C44" s="65">
        <f>'Input &amp; Output'!I28</f>
        <v>0</v>
      </c>
      <c r="D44" s="65">
        <f>'Input &amp; Output'!J28</f>
        <v>0</v>
      </c>
      <c r="E44" s="65">
        <f>'Input &amp; Output'!K28</f>
        <v>0</v>
      </c>
      <c r="F44" s="66">
        <f>'Input &amp; Output'!L28</f>
        <v>0</v>
      </c>
      <c r="G44" s="142" t="s">
        <v>76</v>
      </c>
      <c r="H44" s="143"/>
      <c r="I44" s="143"/>
      <c r="J44" s="141"/>
      <c r="K44" s="40"/>
      <c r="L44" s="40"/>
      <c r="M44" s="40"/>
      <c r="N44" s="40"/>
      <c r="O44" s="40"/>
      <c r="P44" s="40"/>
    </row>
    <row r="45" spans="1:16" ht="12.75">
      <c r="A45" s="76" t="str">
        <f>EB</f>
        <v>EB approach</v>
      </c>
      <c r="B45" s="65">
        <f>'Input &amp; Output'!H29</f>
        <v>0</v>
      </c>
      <c r="C45" s="65">
        <f>'Input &amp; Output'!I29</f>
        <v>0</v>
      </c>
      <c r="D45" s="65">
        <f>'Input &amp; Output'!J29</f>
        <v>0</v>
      </c>
      <c r="E45" s="65">
        <f>'Input &amp; Output'!K29</f>
        <v>0</v>
      </c>
      <c r="F45" s="66">
        <f>'Input &amp; Output'!L29</f>
        <v>0</v>
      </c>
      <c r="G45" s="142"/>
      <c r="H45" s="143"/>
      <c r="I45" s="143"/>
      <c r="J45" s="141"/>
      <c r="K45" s="40"/>
      <c r="L45" s="40"/>
      <c r="M45" s="40"/>
      <c r="N45" s="40"/>
      <c r="O45" s="40"/>
      <c r="P45" s="40"/>
    </row>
    <row r="46" spans="1:16" ht="13.5" thickBot="1">
      <c r="A46" s="77" t="str">
        <f>WB</f>
        <v>WB approach</v>
      </c>
      <c r="B46" s="71">
        <f>'Input &amp; Output'!H30</f>
        <v>0</v>
      </c>
      <c r="C46" s="71">
        <f>'Input &amp; Output'!I30</f>
        <v>0</v>
      </c>
      <c r="D46" s="71">
        <f>'Input &amp; Output'!J30</f>
        <v>0</v>
      </c>
      <c r="E46" s="71">
        <f>'Input &amp; Output'!K30</f>
        <v>0</v>
      </c>
      <c r="F46" s="72">
        <f>'Input &amp; Output'!L30</f>
        <v>0</v>
      </c>
      <c r="G46" s="142"/>
      <c r="H46" s="143"/>
      <c r="I46" s="143"/>
      <c r="J46" s="141"/>
      <c r="K46" s="40"/>
      <c r="L46" s="40"/>
      <c r="M46" s="40"/>
      <c r="N46" s="40"/>
      <c r="O46" s="40"/>
      <c r="P46" s="40"/>
    </row>
    <row r="47" spans="1:9" ht="12.75">
      <c r="A47" s="56"/>
      <c r="B47" s="58"/>
      <c r="C47" s="58"/>
      <c r="D47" s="58"/>
      <c r="E47" s="58"/>
      <c r="F47" s="57"/>
      <c r="G47" s="57"/>
      <c r="H47" s="57"/>
      <c r="I47" s="57"/>
    </row>
    <row r="48" spans="1:9" ht="13.5" thickBot="1">
      <c r="A48" s="266" t="s">
        <v>83</v>
      </c>
      <c r="B48" s="266"/>
      <c r="C48" s="266"/>
      <c r="D48" s="266"/>
      <c r="E48" s="266"/>
      <c r="F48" s="266"/>
      <c r="G48" s="266"/>
      <c r="H48" s="266"/>
      <c r="I48" s="266"/>
    </row>
    <row r="49" spans="1:9" ht="12.75">
      <c r="A49" s="60" t="s">
        <v>0</v>
      </c>
      <c r="B49" s="267" t="s">
        <v>53</v>
      </c>
      <c r="C49" s="268"/>
      <c r="D49" s="269" t="s">
        <v>54</v>
      </c>
      <c r="E49" s="270"/>
      <c r="F49" s="271" t="s">
        <v>55</v>
      </c>
      <c r="G49" s="272"/>
      <c r="H49" s="264" t="s">
        <v>56</v>
      </c>
      <c r="I49" s="265"/>
    </row>
    <row r="50" spans="1:10" ht="12.75">
      <c r="A50" s="61" t="s">
        <v>34</v>
      </c>
      <c r="B50" s="62" t="s">
        <v>45</v>
      </c>
      <c r="C50" s="121" t="s">
        <v>46</v>
      </c>
      <c r="D50" s="129" t="s">
        <v>45</v>
      </c>
      <c r="E50" s="130" t="s">
        <v>46</v>
      </c>
      <c r="F50" s="129" t="s">
        <v>45</v>
      </c>
      <c r="G50" s="130" t="s">
        <v>46</v>
      </c>
      <c r="H50" s="125" t="s">
        <v>45</v>
      </c>
      <c r="I50" s="63" t="s">
        <v>46</v>
      </c>
      <c r="J50" s="59" t="s">
        <v>66</v>
      </c>
    </row>
    <row r="51" spans="1:10" ht="12.75">
      <c r="A51" s="64" t="s">
        <v>49</v>
      </c>
      <c r="B51" s="65">
        <f>SUM(B43:C43)</f>
        <v>0</v>
      </c>
      <c r="C51" s="122">
        <f>E43</f>
        <v>0</v>
      </c>
      <c r="D51" s="131">
        <f>SUM(B44:C44)</f>
        <v>0</v>
      </c>
      <c r="E51" s="132">
        <f>E44</f>
        <v>0</v>
      </c>
      <c r="F51" s="131">
        <f>SUM(B45:C45)</f>
        <v>0</v>
      </c>
      <c r="G51" s="132">
        <f>E45</f>
        <v>0</v>
      </c>
      <c r="H51" s="126">
        <f>SUM(B46:C46)</f>
        <v>0</v>
      </c>
      <c r="I51" s="66">
        <f>E46</f>
        <v>0</v>
      </c>
      <c r="J51" s="40" t="s">
        <v>59</v>
      </c>
    </row>
    <row r="52" spans="1:10" ht="29.25" customHeight="1">
      <c r="A52" s="67" t="s">
        <v>48</v>
      </c>
      <c r="B52" s="68">
        <f>IF(B51-C51&lt;=0,C51-B51,0)</f>
        <v>0</v>
      </c>
      <c r="C52" s="123">
        <f>IF(C51-B51&lt;=0,B51-C51,0)</f>
        <v>0</v>
      </c>
      <c r="D52" s="133">
        <f>IF(D51-E51&lt;=0,E51-D51,0)</f>
        <v>0</v>
      </c>
      <c r="E52" s="134">
        <f>IF(E51-D51&lt;=0,D51-E51,0)</f>
        <v>0</v>
      </c>
      <c r="F52" s="133">
        <f>IF(F51-G51&lt;=0,G51-F51,0)</f>
        <v>0</v>
      </c>
      <c r="G52" s="134">
        <f>IF(G51-F51&lt;=0,F51-G51,0)</f>
        <v>0</v>
      </c>
      <c r="H52" s="127">
        <f>IF(H51-I51&lt;=0,I51-H51,0)</f>
        <v>0</v>
      </c>
      <c r="I52" s="69">
        <f>IF(I51-H51&lt;=0,H51-I51,0)</f>
        <v>0</v>
      </c>
      <c r="J52" s="40" t="s">
        <v>74</v>
      </c>
    </row>
    <row r="53" spans="1:10" ht="29.25" customHeight="1">
      <c r="A53" s="67" t="s">
        <v>52</v>
      </c>
      <c r="B53" s="68">
        <f>MIN(B52,D43)</f>
        <v>0</v>
      </c>
      <c r="C53" s="123">
        <f>MIN(C52,D43)</f>
        <v>0</v>
      </c>
      <c r="D53" s="133">
        <f>MIN(D52,D44)</f>
        <v>0</v>
      </c>
      <c r="E53" s="134">
        <f>MIN(E52,D44)</f>
        <v>0</v>
      </c>
      <c r="F53" s="133">
        <f>MIN(F52,D45)</f>
        <v>0</v>
      </c>
      <c r="G53" s="134">
        <f>MIN(G52,D45)</f>
        <v>0</v>
      </c>
      <c r="H53" s="127">
        <f>MIN(H52,D46)</f>
        <v>0</v>
      </c>
      <c r="I53" s="69">
        <f>MIN(I52,D46)</f>
        <v>0</v>
      </c>
      <c r="J53" s="40" t="s">
        <v>60</v>
      </c>
    </row>
    <row r="54" spans="1:10" ht="77.25" customHeight="1">
      <c r="A54" s="67" t="s">
        <v>57</v>
      </c>
      <c r="B54" s="68">
        <f>IF(B52&gt;0,IF(B52&lt;=D43,D43-B52,0),0)</f>
        <v>0</v>
      </c>
      <c r="C54" s="123">
        <f>IF(C52&gt;0,IF(C52&lt;=D43,D43-C52,0),0)</f>
        <v>0</v>
      </c>
      <c r="D54" s="133">
        <f>IF(D52&gt;0,IF(D52&lt;=D44,D44-D52,0),0)</f>
        <v>0</v>
      </c>
      <c r="E54" s="134">
        <f>IF(E52&gt;0,IF(E52&lt;=D44,D44-E52,0),0)</f>
        <v>0</v>
      </c>
      <c r="F54" s="133">
        <f>IF(F52&gt;0,IF(F52&lt;=D45,D45-F52,0),0)</f>
        <v>0</v>
      </c>
      <c r="G54" s="134">
        <f>IF(G52&gt;0,IF(G52&lt;=D45,D45-G52,0),0)</f>
        <v>0</v>
      </c>
      <c r="H54" s="127">
        <f>IF(H52&gt;0,IF(H52&lt;=D46,D46-H52,0),0)</f>
        <v>0</v>
      </c>
      <c r="I54" s="69">
        <f>IF(I52&gt;0,IF(I52&lt;=D46,D46-I52,0),0)</f>
        <v>0</v>
      </c>
      <c r="J54" s="40" t="s">
        <v>61</v>
      </c>
    </row>
    <row r="55" spans="1:10" ht="38.25">
      <c r="A55" s="67" t="s">
        <v>50</v>
      </c>
      <c r="B55" s="68">
        <f>0.5*MAX(B54:C54)</f>
        <v>0</v>
      </c>
      <c r="C55" s="123">
        <f>0.5*MAX(B54:C54)</f>
        <v>0</v>
      </c>
      <c r="D55" s="133">
        <f>0.5*MAX(D54:E54)</f>
        <v>0</v>
      </c>
      <c r="E55" s="134">
        <f>0.5*MAX(D54:E54)</f>
        <v>0</v>
      </c>
      <c r="F55" s="133">
        <f>0.5*MAX(F54:G54)</f>
        <v>0</v>
      </c>
      <c r="G55" s="134">
        <f>0.5*MAX(F54:G54)</f>
        <v>0</v>
      </c>
      <c r="H55" s="127">
        <f>0.5*MAX(H54:I54)</f>
        <v>0</v>
      </c>
      <c r="I55" s="69">
        <f>0.5*MAX(H54:I54)</f>
        <v>0</v>
      </c>
      <c r="J55" s="40" t="s">
        <v>62</v>
      </c>
    </row>
    <row r="56" spans="1:10" ht="13.5" thickBot="1">
      <c r="A56" s="70" t="s">
        <v>51</v>
      </c>
      <c r="B56" s="71">
        <f aca="true" t="shared" si="5" ref="B56:I56">B51+B53+B55</f>
        <v>0</v>
      </c>
      <c r="C56" s="124">
        <f t="shared" si="5"/>
        <v>0</v>
      </c>
      <c r="D56" s="135">
        <f t="shared" si="5"/>
        <v>0</v>
      </c>
      <c r="E56" s="136">
        <f t="shared" si="5"/>
        <v>0</v>
      </c>
      <c r="F56" s="135">
        <f t="shared" si="5"/>
        <v>0</v>
      </c>
      <c r="G56" s="136">
        <f t="shared" si="5"/>
        <v>0</v>
      </c>
      <c r="H56" s="128">
        <f t="shared" si="5"/>
        <v>0</v>
      </c>
      <c r="I56" s="72">
        <f t="shared" si="5"/>
        <v>0</v>
      </c>
      <c r="J56" s="40" t="s">
        <v>82</v>
      </c>
    </row>
    <row r="59" spans="2:3" ht="12.75">
      <c r="B59" s="36"/>
      <c r="C59" s="36"/>
    </row>
  </sheetData>
  <mergeCells count="19">
    <mergeCell ref="H49:I49"/>
    <mergeCell ref="A48:I48"/>
    <mergeCell ref="A1:I1"/>
    <mergeCell ref="A2:I2"/>
    <mergeCell ref="A4:I4"/>
    <mergeCell ref="B49:C49"/>
    <mergeCell ref="D49:E49"/>
    <mergeCell ref="F49:G49"/>
    <mergeCell ref="B41:E41"/>
    <mergeCell ref="A5:I5"/>
    <mergeCell ref="B18:C18"/>
    <mergeCell ref="B19:I19"/>
    <mergeCell ref="D18:E18"/>
    <mergeCell ref="F18:G18"/>
    <mergeCell ref="H18:I18"/>
    <mergeCell ref="H7:I7"/>
    <mergeCell ref="B7:C7"/>
    <mergeCell ref="D7:E7"/>
    <mergeCell ref="F7:G7"/>
  </mergeCells>
  <conditionalFormatting sqref="B14:I14">
    <cfRule type="cellIs" priority="1" dxfId="0" operator="lessThan" stopIfTrue="1">
      <formula>0.85</formula>
    </cfRule>
    <cfRule type="cellIs" priority="2" dxfId="1" operator="between" stopIfTrue="1">
      <formula>0.85</formula>
      <formula>1</formula>
    </cfRule>
    <cfRule type="cellIs" priority="3" dxfId="2" operator="greaterThanOrEqual" stopIfTrue="1">
      <formula>1</formula>
    </cfRule>
  </conditionalFormatting>
  <printOptions horizont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Roundabouts</dc:title>
  <dc:subject>roundabout analysis by FHWA methods</dc:subject>
  <dc:creator>N34MJD</dc:creator>
  <cp:keywords/>
  <dc:description/>
  <cp:lastModifiedBy>n34sjb</cp:lastModifiedBy>
  <cp:lastPrinted>2007-11-20T17:07:31Z</cp:lastPrinted>
  <dcterms:created xsi:type="dcterms:W3CDTF">2000-06-21T14:55:02Z</dcterms:created>
  <dcterms:modified xsi:type="dcterms:W3CDTF">2008-07-29T17:59:40Z</dcterms:modified>
  <cp:category>traffic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lpwstr>6/2008</vt:lpwstr>
  </property>
</Properties>
</file>