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gov-my.sharepoint.com/personal/jennifer_d_lane_dot_nh_gov/Documents/Documents/Drupal Documents/"/>
    </mc:Choice>
  </mc:AlternateContent>
  <xr:revisionPtr revIDLastSave="0" documentId="8_{C7DFC73B-E19A-4845-BA07-A0AC8E2CADDE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Benefits-Cost Summary" sheetId="1" r:id="rId1"/>
    <sheet name="Traffic Volumes" sheetId="2" r:id="rId2"/>
    <sheet name="GDP" sheetId="3" r:id="rId3"/>
    <sheet name="Value of Life-Crash cost" sheetId="4" r:id="rId4"/>
    <sheet name="Value of Travel Time" sheetId="7" r:id="rId5"/>
    <sheet name="Rehabilitation Option Cost" sheetId="8" r:id="rId6"/>
    <sheet name="Work Zone Savings" sheetId="9" r:id="rId7"/>
  </sheets>
  <definedNames>
    <definedName name="_xlnm.Print_Area" localSheetId="0">'Benefits-Cost Summary'!$A$1:$W$73</definedName>
    <definedName name="_xlnm.Print_Area" localSheetId="2">GDP!$A$1:$E$11</definedName>
    <definedName name="_xlnm.Print_Area" localSheetId="5">'Rehabilitation Option Cost'!$B$1:$O$60</definedName>
    <definedName name="_xlnm.Print_Area" localSheetId="1">'Traffic Volumes'!$A$1:$G$62</definedName>
    <definedName name="_xlnm.Print_Area" localSheetId="3">'Value of Life-Crash cost'!$A$1:$U$63</definedName>
    <definedName name="_xlnm.Print_Area" localSheetId="4">'Value of Travel Time'!$A$1:$L$67</definedName>
    <definedName name="_xlnm.Print_Area" localSheetId="6">'Work Zone Savings'!$A$1:$O$67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9" l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27" i="9"/>
  <c r="F28" i="9" s="1"/>
  <c r="F29" i="9" s="1"/>
  <c r="F30" i="9" s="1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O13" i="9" l="1"/>
  <c r="O12" i="9"/>
  <c r="O11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I5" i="4" l="1"/>
  <c r="O11" i="8"/>
  <c r="O10" i="8"/>
  <c r="O9" i="8"/>
  <c r="O8" i="8"/>
  <c r="O6" i="8"/>
  <c r="O7" i="8"/>
  <c r="O5" i="8"/>
  <c r="L13" i="7"/>
  <c r="L12" i="7"/>
  <c r="L11" i="7"/>
  <c r="C34" i="4" l="1"/>
  <c r="C33" i="4"/>
  <c r="L5" i="4" s="1"/>
  <c r="C32" i="4"/>
  <c r="K5" i="4" s="1"/>
  <c r="D18" i="4"/>
  <c r="D15" i="4"/>
  <c r="D16" i="4"/>
  <c r="D17" i="4"/>
  <c r="D19" i="4"/>
  <c r="D20" i="4"/>
  <c r="M5" i="4" l="1"/>
  <c r="C26" i="4"/>
  <c r="E10" i="4"/>
  <c r="B28" i="4" s="1"/>
  <c r="E9" i="4"/>
  <c r="E8" i="4"/>
  <c r="E7" i="4"/>
  <c r="E6" i="4"/>
  <c r="B27" i="4" s="1"/>
  <c r="E5" i="4"/>
  <c r="D59" i="8" l="1"/>
  <c r="D54" i="8"/>
  <c r="D49" i="8"/>
  <c r="D44" i="8"/>
  <c r="F44" i="8" s="1"/>
  <c r="D39" i="8"/>
  <c r="F39" i="8" s="1"/>
  <c r="D34" i="8"/>
  <c r="D29" i="8"/>
  <c r="D24" i="8"/>
  <c r="D19" i="8"/>
  <c r="D14" i="8"/>
  <c r="D58" i="8"/>
  <c r="D57" i="8"/>
  <c r="D56" i="8"/>
  <c r="D55" i="8"/>
  <c r="D53" i="8"/>
  <c r="D52" i="8"/>
  <c r="D51" i="8"/>
  <c r="D50" i="8"/>
  <c r="D48" i="8"/>
  <c r="F48" i="8" s="1"/>
  <c r="D47" i="8"/>
  <c r="D46" i="8"/>
  <c r="F46" i="8" s="1"/>
  <c r="D45" i="8"/>
  <c r="D43" i="8"/>
  <c r="D42" i="8"/>
  <c r="D41" i="8"/>
  <c r="D40" i="8"/>
  <c r="D38" i="8"/>
  <c r="D37" i="8"/>
  <c r="D36" i="8"/>
  <c r="F36" i="8" s="1"/>
  <c r="D35" i="8"/>
  <c r="D33" i="8"/>
  <c r="F33" i="8" s="1"/>
  <c r="D32" i="8"/>
  <c r="D31" i="8"/>
  <c r="F31" i="8" s="1"/>
  <c r="D30" i="8"/>
  <c r="D28" i="8"/>
  <c r="D27" i="8"/>
  <c r="D26" i="8"/>
  <c r="F26" i="8" s="1"/>
  <c r="D25" i="8"/>
  <c r="D23" i="8"/>
  <c r="D22" i="8"/>
  <c r="F22" i="8" s="1"/>
  <c r="D21" i="8"/>
  <c r="F21" i="8" s="1"/>
  <c r="D20" i="8"/>
  <c r="D18" i="8"/>
  <c r="D17" i="8"/>
  <c r="F17" i="8" s="1"/>
  <c r="D16" i="8"/>
  <c r="F16" i="8" s="1"/>
  <c r="D15" i="8"/>
  <c r="D13" i="8"/>
  <c r="D12" i="8"/>
  <c r="D11" i="8"/>
  <c r="D10" i="8"/>
  <c r="P61" i="1"/>
  <c r="P56" i="1"/>
  <c r="P51" i="1"/>
  <c r="P41" i="1"/>
  <c r="P36" i="1"/>
  <c r="P31" i="1"/>
  <c r="P26" i="1"/>
  <c r="P21" i="1"/>
  <c r="P16" i="1"/>
  <c r="P60" i="1"/>
  <c r="P59" i="1"/>
  <c r="P58" i="1"/>
  <c r="P57" i="1"/>
  <c r="P55" i="1"/>
  <c r="P54" i="1"/>
  <c r="P53" i="1"/>
  <c r="P52" i="1"/>
  <c r="P50" i="1"/>
  <c r="P49" i="1"/>
  <c r="P48" i="1"/>
  <c r="P47" i="1"/>
  <c r="P45" i="1"/>
  <c r="P44" i="1"/>
  <c r="P43" i="1"/>
  <c r="P42" i="1"/>
  <c r="P40" i="1"/>
  <c r="P39" i="1"/>
  <c r="P38" i="1"/>
  <c r="P37" i="1"/>
  <c r="P35" i="1"/>
  <c r="P34" i="1"/>
  <c r="P33" i="1"/>
  <c r="P32" i="1"/>
  <c r="P30" i="1"/>
  <c r="P29" i="1"/>
  <c r="P28" i="1"/>
  <c r="P27" i="1"/>
  <c r="P25" i="1"/>
  <c r="P24" i="1"/>
  <c r="P23" i="1"/>
  <c r="P22" i="1"/>
  <c r="P20" i="1"/>
  <c r="P19" i="1"/>
  <c r="P18" i="1"/>
  <c r="P17" i="1"/>
  <c r="P15" i="1"/>
  <c r="P14" i="1"/>
  <c r="P13" i="1"/>
  <c r="P12" i="1"/>
  <c r="F57" i="8"/>
  <c r="F55" i="8"/>
  <c r="F54" i="8"/>
  <c r="F53" i="8"/>
  <c r="F52" i="8"/>
  <c r="F51" i="8"/>
  <c r="F50" i="8"/>
  <c r="F49" i="8"/>
  <c r="F47" i="8"/>
  <c r="F45" i="8"/>
  <c r="F43" i="8"/>
  <c r="F42" i="8"/>
  <c r="F41" i="8"/>
  <c r="F40" i="8"/>
  <c r="F38" i="8"/>
  <c r="F37" i="8"/>
  <c r="F35" i="8"/>
  <c r="F34" i="8"/>
  <c r="F32" i="8"/>
  <c r="F30" i="8"/>
  <c r="F29" i="8"/>
  <c r="F28" i="8"/>
  <c r="F27" i="8"/>
  <c r="F25" i="8"/>
  <c r="F24" i="8"/>
  <c r="F23" i="8"/>
  <c r="F20" i="8"/>
  <c r="F19" i="8"/>
  <c r="F18" i="8"/>
  <c r="F15" i="8"/>
  <c r="F14" i="8"/>
  <c r="F13" i="8"/>
  <c r="F12" i="8"/>
  <c r="F11" i="8"/>
  <c r="F10" i="8"/>
  <c r="E60" i="8"/>
  <c r="N12" i="8"/>
  <c r="O12" i="8" l="1"/>
  <c r="C59" i="8"/>
  <c r="F59" i="8" s="1"/>
  <c r="C58" i="8"/>
  <c r="F58" i="8" s="1"/>
  <c r="C56" i="8"/>
  <c r="F56" i="8" s="1"/>
  <c r="B3" i="8"/>
  <c r="B4" i="8" s="1"/>
  <c r="B5" i="8" s="1"/>
  <c r="C9" i="8" l="1"/>
  <c r="F9" i="8" s="1"/>
  <c r="C7" i="8"/>
  <c r="F7" i="8" s="1"/>
  <c r="C5" i="8"/>
  <c r="F5" i="8" s="1"/>
  <c r="C8" i="8"/>
  <c r="F8" i="8" s="1"/>
  <c r="C6" i="8"/>
  <c r="F6" i="8" s="1"/>
  <c r="B6" i="8"/>
  <c r="I5" i="8"/>
  <c r="G5" i="8"/>
  <c r="D60" i="8"/>
  <c r="H62" i="1"/>
  <c r="P46" i="1"/>
  <c r="Q62" i="1"/>
  <c r="O60" i="1"/>
  <c r="R60" i="1" s="1"/>
  <c r="R59" i="1"/>
  <c r="O58" i="1"/>
  <c r="R58" i="1" s="1"/>
  <c r="H5" i="8" l="1"/>
  <c r="J5" i="8"/>
  <c r="F60" i="8"/>
  <c r="P62" i="1"/>
  <c r="B7" i="8"/>
  <c r="G6" i="8"/>
  <c r="H6" i="8" s="1"/>
  <c r="I6" i="8"/>
  <c r="J6" i="8" s="1"/>
  <c r="C60" i="8"/>
  <c r="R57" i="1"/>
  <c r="V72" i="1"/>
  <c r="R61" i="1" l="1"/>
  <c r="O61" i="1"/>
  <c r="B8" i="8"/>
  <c r="I7" i="8"/>
  <c r="J7" i="8" s="1"/>
  <c r="G7" i="8"/>
  <c r="H7" i="8" s="1"/>
  <c r="O7" i="1"/>
  <c r="O8" i="1"/>
  <c r="O10" i="1"/>
  <c r="O9" i="1"/>
  <c r="R9" i="1" s="1"/>
  <c r="O11" i="1"/>
  <c r="R11" i="1" s="1"/>
  <c r="R8" i="1"/>
  <c r="B31" i="4"/>
  <c r="C31" i="4" s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0" i="1"/>
  <c r="R7" i="1" l="1"/>
  <c r="R62" i="1" s="1"/>
  <c r="O62" i="1"/>
  <c r="B9" i="8"/>
  <c r="G8" i="8"/>
  <c r="H8" i="8" s="1"/>
  <c r="I8" i="8"/>
  <c r="J8" i="8" s="1"/>
  <c r="B10" i="8" l="1"/>
  <c r="I9" i="8"/>
  <c r="J9" i="8" s="1"/>
  <c r="G9" i="8"/>
  <c r="H9" i="8" s="1"/>
  <c r="C8" i="2"/>
  <c r="F8" i="2" s="1"/>
  <c r="I7" i="9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G7" i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D21" i="4"/>
  <c r="D22" i="4"/>
  <c r="C28" i="4"/>
  <c r="C27" i="4"/>
  <c r="B42" i="4" l="1"/>
  <c r="J6" i="4"/>
  <c r="M6" i="4" s="1"/>
  <c r="J8" i="4"/>
  <c r="M8" i="4" s="1"/>
  <c r="J10" i="4"/>
  <c r="M10" i="4" s="1"/>
  <c r="J12" i="4"/>
  <c r="M12" i="4" s="1"/>
  <c r="J14" i="4"/>
  <c r="M14" i="4" s="1"/>
  <c r="J16" i="4"/>
  <c r="M16" i="4" s="1"/>
  <c r="J18" i="4"/>
  <c r="M18" i="4" s="1"/>
  <c r="J20" i="4"/>
  <c r="M20" i="4" s="1"/>
  <c r="J22" i="4"/>
  <c r="M22" i="4" s="1"/>
  <c r="J24" i="4"/>
  <c r="M24" i="4" s="1"/>
  <c r="J26" i="4"/>
  <c r="M26" i="4" s="1"/>
  <c r="J28" i="4"/>
  <c r="M28" i="4" s="1"/>
  <c r="J30" i="4"/>
  <c r="M30" i="4" s="1"/>
  <c r="J32" i="4"/>
  <c r="M32" i="4" s="1"/>
  <c r="J34" i="4"/>
  <c r="M34" i="4" s="1"/>
  <c r="J36" i="4"/>
  <c r="M36" i="4" s="1"/>
  <c r="J38" i="4"/>
  <c r="M38" i="4" s="1"/>
  <c r="J40" i="4"/>
  <c r="M40" i="4" s="1"/>
  <c r="J42" i="4"/>
  <c r="M42" i="4" s="1"/>
  <c r="J44" i="4"/>
  <c r="M44" i="4" s="1"/>
  <c r="J46" i="4"/>
  <c r="M46" i="4" s="1"/>
  <c r="J48" i="4"/>
  <c r="M48" i="4" s="1"/>
  <c r="J50" i="4"/>
  <c r="M50" i="4" s="1"/>
  <c r="J52" i="4"/>
  <c r="M52" i="4" s="1"/>
  <c r="J54" i="4"/>
  <c r="M54" i="4" s="1"/>
  <c r="I57" i="4"/>
  <c r="J56" i="4"/>
  <c r="M56" i="4" s="1"/>
  <c r="J7" i="4"/>
  <c r="M7" i="4" s="1"/>
  <c r="J9" i="4"/>
  <c r="M9" i="4" s="1"/>
  <c r="J11" i="4"/>
  <c r="M11" i="4" s="1"/>
  <c r="J13" i="4"/>
  <c r="M13" i="4" s="1"/>
  <c r="J15" i="4"/>
  <c r="M15" i="4" s="1"/>
  <c r="J17" i="4"/>
  <c r="M17" i="4" s="1"/>
  <c r="J19" i="4"/>
  <c r="M19" i="4" s="1"/>
  <c r="J21" i="4"/>
  <c r="M21" i="4" s="1"/>
  <c r="J23" i="4"/>
  <c r="M23" i="4" s="1"/>
  <c r="J25" i="4"/>
  <c r="M25" i="4" s="1"/>
  <c r="J27" i="4"/>
  <c r="M27" i="4" s="1"/>
  <c r="J29" i="4"/>
  <c r="M29" i="4" s="1"/>
  <c r="J31" i="4"/>
  <c r="M31" i="4" s="1"/>
  <c r="J33" i="4"/>
  <c r="M33" i="4" s="1"/>
  <c r="J35" i="4"/>
  <c r="M35" i="4" s="1"/>
  <c r="J37" i="4"/>
  <c r="M37" i="4" s="1"/>
  <c r="J39" i="4"/>
  <c r="M39" i="4" s="1"/>
  <c r="J41" i="4"/>
  <c r="M41" i="4" s="1"/>
  <c r="J43" i="4"/>
  <c r="M43" i="4" s="1"/>
  <c r="J45" i="4"/>
  <c r="M45" i="4" s="1"/>
  <c r="J47" i="4"/>
  <c r="M47" i="4" s="1"/>
  <c r="J49" i="4"/>
  <c r="M49" i="4" s="1"/>
  <c r="J51" i="4"/>
  <c r="M51" i="4" s="1"/>
  <c r="J53" i="4"/>
  <c r="M53" i="4" s="1"/>
  <c r="J55" i="4"/>
  <c r="M55" i="4" s="1"/>
  <c r="D8" i="2"/>
  <c r="G8" i="2" s="1"/>
  <c r="E8" i="2"/>
  <c r="B11" i="8"/>
  <c r="G10" i="8"/>
  <c r="H10" i="8" s="1"/>
  <c r="I10" i="8"/>
  <c r="J10" i="8" s="1"/>
  <c r="F7" i="7"/>
  <c r="B41" i="4"/>
  <c r="B43" i="4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B9" i="2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A5" i="1"/>
  <c r="A6" i="1" s="1"/>
  <c r="A7" i="1" s="1"/>
  <c r="U6" i="4" l="1"/>
  <c r="P6" i="4"/>
  <c r="Q6" i="4" s="1"/>
  <c r="E7" i="7"/>
  <c r="D7" i="9"/>
  <c r="E7" i="9" s="1"/>
  <c r="H7" i="9"/>
  <c r="K7" i="9" s="1"/>
  <c r="F7" i="1" s="1"/>
  <c r="C7" i="7"/>
  <c r="C7" i="1" s="1"/>
  <c r="L6" i="4"/>
  <c r="K6" i="4"/>
  <c r="K7" i="4" s="1"/>
  <c r="N7" i="4" s="1"/>
  <c r="I58" i="4"/>
  <c r="J57" i="4"/>
  <c r="M57" i="4" s="1"/>
  <c r="B10" i="2"/>
  <c r="C9" i="2"/>
  <c r="D9" i="2" s="1"/>
  <c r="J8" i="9" s="1"/>
  <c r="B44" i="4"/>
  <c r="B12" i="8"/>
  <c r="I11" i="8"/>
  <c r="J11" i="8" s="1"/>
  <c r="G11" i="8"/>
  <c r="H11" i="8" s="1"/>
  <c r="H7" i="7"/>
  <c r="E7" i="1" s="1"/>
  <c r="I7" i="1" s="1"/>
  <c r="A8" i="1"/>
  <c r="A9" i="1" s="1"/>
  <c r="U7" i="1"/>
  <c r="V7" i="1" s="1"/>
  <c r="S7" i="1"/>
  <c r="T7" i="1" s="1"/>
  <c r="L7" i="1"/>
  <c r="J7" i="1"/>
  <c r="G8" i="1"/>
  <c r="S6" i="4" l="1"/>
  <c r="K8" i="4"/>
  <c r="I59" i="4"/>
  <c r="J59" i="4" s="1"/>
  <c r="M59" i="4" s="1"/>
  <c r="J58" i="4"/>
  <c r="M58" i="4" s="1"/>
  <c r="L7" i="4"/>
  <c r="T6" i="4"/>
  <c r="M7" i="1"/>
  <c r="K7" i="1"/>
  <c r="F9" i="2"/>
  <c r="E9" i="2"/>
  <c r="B11" i="2"/>
  <c r="C10" i="2"/>
  <c r="D10" i="2" s="1"/>
  <c r="G9" i="2"/>
  <c r="G8" i="7"/>
  <c r="W7" i="1"/>
  <c r="B13" i="8"/>
  <c r="G12" i="8"/>
  <c r="H12" i="8" s="1"/>
  <c r="I12" i="8"/>
  <c r="J12" i="8" s="1"/>
  <c r="U9" i="1"/>
  <c r="V9" i="1" s="1"/>
  <c r="S9" i="1"/>
  <c r="T9" i="1" s="1"/>
  <c r="L9" i="1"/>
  <c r="J9" i="1"/>
  <c r="U8" i="1"/>
  <c r="V8" i="1" s="1"/>
  <c r="L8" i="1"/>
  <c r="S8" i="1"/>
  <c r="T8" i="1" s="1"/>
  <c r="J8" i="1"/>
  <c r="A10" i="1"/>
  <c r="S7" i="4"/>
  <c r="D8" i="9" l="1"/>
  <c r="E8" i="9" s="1"/>
  <c r="H8" i="9"/>
  <c r="C8" i="7"/>
  <c r="C8" i="1" s="1"/>
  <c r="F8" i="7"/>
  <c r="I8" i="9"/>
  <c r="P7" i="4"/>
  <c r="U7" i="4" s="1"/>
  <c r="P8" i="4"/>
  <c r="U8" i="4" s="1"/>
  <c r="L8" i="4"/>
  <c r="O7" i="4"/>
  <c r="N8" i="4"/>
  <c r="K9" i="4"/>
  <c r="G10" i="2"/>
  <c r="B12" i="2"/>
  <c r="C11" i="2"/>
  <c r="D11" i="2" s="1"/>
  <c r="F10" i="2"/>
  <c r="E10" i="2"/>
  <c r="E8" i="7"/>
  <c r="B14" i="8"/>
  <c r="I13" i="8"/>
  <c r="J13" i="8" s="1"/>
  <c r="G13" i="8"/>
  <c r="H13" i="8" s="1"/>
  <c r="J10" i="1"/>
  <c r="U10" i="1"/>
  <c r="V10" i="1" s="1"/>
  <c r="S10" i="1"/>
  <c r="T10" i="1" s="1"/>
  <c r="L10" i="1"/>
  <c r="A11" i="1"/>
  <c r="K8" i="9" l="1"/>
  <c r="F8" i="1" s="1"/>
  <c r="H8" i="7"/>
  <c r="E8" i="1" s="1"/>
  <c r="I8" i="1" s="1"/>
  <c r="W8" i="1" s="1"/>
  <c r="D9" i="9"/>
  <c r="E9" i="9" s="1"/>
  <c r="G9" i="9" s="1"/>
  <c r="C9" i="7"/>
  <c r="T7" i="4"/>
  <c r="Q7" i="4"/>
  <c r="G9" i="1" s="1"/>
  <c r="P9" i="4"/>
  <c r="U9" i="4" s="1"/>
  <c r="K10" i="4"/>
  <c r="N9" i="4"/>
  <c r="L9" i="4"/>
  <c r="O8" i="4"/>
  <c r="S8" i="4"/>
  <c r="F11" i="2"/>
  <c r="E11" i="2"/>
  <c r="B13" i="2"/>
  <c r="C12" i="2"/>
  <c r="D12" i="2" s="1"/>
  <c r="G11" i="2"/>
  <c r="B15" i="8"/>
  <c r="G14" i="8"/>
  <c r="H14" i="8" s="1"/>
  <c r="I14" i="8"/>
  <c r="J14" i="8" s="1"/>
  <c r="U11" i="1"/>
  <c r="V11" i="1" s="1"/>
  <c r="S11" i="1"/>
  <c r="T11" i="1" s="1"/>
  <c r="L11" i="1"/>
  <c r="J11" i="1"/>
  <c r="A12" i="1"/>
  <c r="M8" i="1" l="1"/>
  <c r="J9" i="9"/>
  <c r="K8" i="1"/>
  <c r="D10" i="9"/>
  <c r="E10" i="9" s="1"/>
  <c r="G10" i="9" s="1"/>
  <c r="C10" i="7"/>
  <c r="H9" i="9"/>
  <c r="I9" i="9"/>
  <c r="T8" i="4"/>
  <c r="Q8" i="4"/>
  <c r="G10" i="1" s="1"/>
  <c r="P10" i="4"/>
  <c r="U10" i="4" s="1"/>
  <c r="S9" i="4"/>
  <c r="L10" i="4"/>
  <c r="O9" i="4"/>
  <c r="N10" i="4"/>
  <c r="S10" i="4" s="1"/>
  <c r="K11" i="4"/>
  <c r="G12" i="2"/>
  <c r="B14" i="2"/>
  <c r="C13" i="2"/>
  <c r="D9" i="7"/>
  <c r="C9" i="1"/>
  <c r="D9" i="1" s="1"/>
  <c r="F12" i="2"/>
  <c r="E12" i="2"/>
  <c r="B16" i="8"/>
  <c r="I15" i="8"/>
  <c r="J15" i="8" s="1"/>
  <c r="G15" i="8"/>
  <c r="H15" i="8" s="1"/>
  <c r="U12" i="1"/>
  <c r="V12" i="1" s="1"/>
  <c r="S12" i="1"/>
  <c r="L12" i="1"/>
  <c r="J12" i="1"/>
  <c r="A13" i="1"/>
  <c r="T12" i="1"/>
  <c r="J10" i="9" l="1"/>
  <c r="K9" i="9"/>
  <c r="F9" i="1" s="1"/>
  <c r="I10" i="9"/>
  <c r="D11" i="9"/>
  <c r="E11" i="9" s="1"/>
  <c r="G11" i="9" s="1"/>
  <c r="C11" i="7"/>
  <c r="H10" i="9"/>
  <c r="Q9" i="4"/>
  <c r="G11" i="1" s="1"/>
  <c r="P11" i="4"/>
  <c r="U11" i="4" s="1"/>
  <c r="T9" i="4"/>
  <c r="K12" i="4"/>
  <c r="N11" i="4"/>
  <c r="O10" i="4"/>
  <c r="L11" i="4"/>
  <c r="F13" i="2"/>
  <c r="E13" i="2"/>
  <c r="B15" i="2"/>
  <c r="C14" i="2"/>
  <c r="D14" i="2" s="1"/>
  <c r="D10" i="7"/>
  <c r="C10" i="1"/>
  <c r="D10" i="1" s="1"/>
  <c r="G9" i="7"/>
  <c r="E9" i="7"/>
  <c r="F9" i="7"/>
  <c r="D13" i="2"/>
  <c r="B17" i="8"/>
  <c r="G16" i="8"/>
  <c r="H16" i="8" s="1"/>
  <c r="I16" i="8"/>
  <c r="J16" i="8" s="1"/>
  <c r="U13" i="1"/>
  <c r="V13" i="1" s="1"/>
  <c r="S13" i="1"/>
  <c r="L13" i="1"/>
  <c r="J13" i="1"/>
  <c r="A14" i="1"/>
  <c r="T13" i="1"/>
  <c r="J11" i="9" l="1"/>
  <c r="K10" i="9"/>
  <c r="F10" i="1" s="1"/>
  <c r="H11" i="9"/>
  <c r="I11" i="9"/>
  <c r="T10" i="4"/>
  <c r="Q10" i="4"/>
  <c r="G12" i="1" s="1"/>
  <c r="P12" i="4"/>
  <c r="U12" i="4" s="1"/>
  <c r="L12" i="4"/>
  <c r="O11" i="4"/>
  <c r="S11" i="4"/>
  <c r="N12" i="4"/>
  <c r="S12" i="4" s="1"/>
  <c r="K13" i="4"/>
  <c r="H9" i="7"/>
  <c r="E9" i="1" s="1"/>
  <c r="G14" i="2"/>
  <c r="B16" i="2"/>
  <c r="C15" i="2"/>
  <c r="D15" i="2" s="1"/>
  <c r="D11" i="7"/>
  <c r="C11" i="1"/>
  <c r="D11" i="1" s="1"/>
  <c r="G13" i="2"/>
  <c r="D12" i="9" s="1"/>
  <c r="E12" i="9" s="1"/>
  <c r="G12" i="9" s="1"/>
  <c r="G10" i="7"/>
  <c r="F10" i="7"/>
  <c r="E10" i="7"/>
  <c r="F14" i="2"/>
  <c r="E14" i="2"/>
  <c r="B18" i="8"/>
  <c r="I17" i="8"/>
  <c r="J17" i="8" s="1"/>
  <c r="G17" i="8"/>
  <c r="H17" i="8" s="1"/>
  <c r="U14" i="1"/>
  <c r="V14" i="1" s="1"/>
  <c r="S14" i="1"/>
  <c r="T14" i="1" s="1"/>
  <c r="L14" i="1"/>
  <c r="J14" i="1"/>
  <c r="A15" i="1"/>
  <c r="K11" i="9" l="1"/>
  <c r="F11" i="1" s="1"/>
  <c r="I12" i="9"/>
  <c r="H12" i="9"/>
  <c r="J12" i="9"/>
  <c r="C12" i="7"/>
  <c r="D12" i="7" s="1"/>
  <c r="D13" i="9"/>
  <c r="E13" i="9" s="1"/>
  <c r="G13" i="9" s="1"/>
  <c r="C13" i="7"/>
  <c r="I9" i="1"/>
  <c r="P13" i="4"/>
  <c r="U13" i="4" s="1"/>
  <c r="T11" i="4"/>
  <c r="Q11" i="4"/>
  <c r="G13" i="1" s="1"/>
  <c r="N13" i="4"/>
  <c r="S13" i="4" s="1"/>
  <c r="K14" i="4"/>
  <c r="O12" i="4"/>
  <c r="L13" i="4"/>
  <c r="H10" i="7"/>
  <c r="E10" i="1" s="1"/>
  <c r="I10" i="1" s="1"/>
  <c r="W10" i="1" s="1"/>
  <c r="F15" i="2"/>
  <c r="E15" i="2"/>
  <c r="B17" i="2"/>
  <c r="C16" i="2"/>
  <c r="D16" i="2" s="1"/>
  <c r="G11" i="7"/>
  <c r="E11" i="7"/>
  <c r="F11" i="7"/>
  <c r="G15" i="2"/>
  <c r="B19" i="8"/>
  <c r="G18" i="8"/>
  <c r="H18" i="8" s="1"/>
  <c r="I18" i="8"/>
  <c r="J18" i="8" s="1"/>
  <c r="U15" i="1"/>
  <c r="V15" i="1" s="1"/>
  <c r="S15" i="1"/>
  <c r="T15" i="1" s="1"/>
  <c r="L15" i="1"/>
  <c r="J15" i="1"/>
  <c r="A16" i="1"/>
  <c r="J13" i="9" l="1"/>
  <c r="H13" i="9"/>
  <c r="C12" i="1"/>
  <c r="D12" i="1" s="1"/>
  <c r="K12" i="9"/>
  <c r="F12" i="1" s="1"/>
  <c r="D14" i="9"/>
  <c r="E14" i="9" s="1"/>
  <c r="G14" i="9" s="1"/>
  <c r="C14" i="7"/>
  <c r="I13" i="9"/>
  <c r="W9" i="1"/>
  <c r="K9" i="1"/>
  <c r="M9" i="1"/>
  <c r="T12" i="4"/>
  <c r="Q12" i="4"/>
  <c r="G14" i="1" s="1"/>
  <c r="K10" i="1"/>
  <c r="O13" i="4"/>
  <c r="L14" i="4"/>
  <c r="K15" i="4"/>
  <c r="N14" i="4"/>
  <c r="H11" i="7"/>
  <c r="E11" i="1" s="1"/>
  <c r="I11" i="1" s="1"/>
  <c r="K11" i="1" s="1"/>
  <c r="M10" i="1"/>
  <c r="F12" i="7"/>
  <c r="G12" i="7"/>
  <c r="E12" i="7"/>
  <c r="G16" i="2"/>
  <c r="B18" i="2"/>
  <c r="C17" i="2"/>
  <c r="D13" i="7"/>
  <c r="C13" i="1"/>
  <c r="D13" i="1" s="1"/>
  <c r="F16" i="2"/>
  <c r="E16" i="2"/>
  <c r="B20" i="8"/>
  <c r="I19" i="8"/>
  <c r="J19" i="8" s="1"/>
  <c r="G19" i="8"/>
  <c r="H19" i="8" s="1"/>
  <c r="U16" i="1"/>
  <c r="V16" i="1" s="1"/>
  <c r="S16" i="1"/>
  <c r="T16" i="1" s="1"/>
  <c r="L16" i="1"/>
  <c r="J16" i="1"/>
  <c r="A17" i="1"/>
  <c r="K13" i="9" l="1"/>
  <c r="F13" i="1" s="1"/>
  <c r="J14" i="9"/>
  <c r="I14" i="9"/>
  <c r="D15" i="9"/>
  <c r="E15" i="9" s="1"/>
  <c r="G15" i="9" s="1"/>
  <c r="C15" i="7"/>
  <c r="H14" i="9"/>
  <c r="T13" i="4"/>
  <c r="Q13" i="4"/>
  <c r="G15" i="1" s="1"/>
  <c r="P15" i="4"/>
  <c r="U15" i="4" s="1"/>
  <c r="P14" i="4"/>
  <c r="U14" i="4" s="1"/>
  <c r="W11" i="1"/>
  <c r="L15" i="4"/>
  <c r="O14" i="4"/>
  <c r="N15" i="4"/>
  <c r="K16" i="4"/>
  <c r="S14" i="4"/>
  <c r="M11" i="1"/>
  <c r="F17" i="2"/>
  <c r="E17" i="2"/>
  <c r="B19" i="2"/>
  <c r="C18" i="2"/>
  <c r="D18" i="2" s="1"/>
  <c r="D14" i="7"/>
  <c r="C14" i="1"/>
  <c r="D14" i="1" s="1"/>
  <c r="G13" i="7"/>
  <c r="E13" i="7"/>
  <c r="F13" i="7"/>
  <c r="D17" i="2"/>
  <c r="H12" i="7"/>
  <c r="B21" i="8"/>
  <c r="G20" i="8"/>
  <c r="H20" i="8" s="1"/>
  <c r="I20" i="8"/>
  <c r="J20" i="8" s="1"/>
  <c r="U17" i="1"/>
  <c r="V17" i="1" s="1"/>
  <c r="S17" i="1"/>
  <c r="T17" i="1" s="1"/>
  <c r="L17" i="1"/>
  <c r="J17" i="1"/>
  <c r="A18" i="1"/>
  <c r="J15" i="9" l="1"/>
  <c r="I15" i="9"/>
  <c r="K14" i="9"/>
  <c r="F14" i="1" s="1"/>
  <c r="H15" i="9"/>
  <c r="G17" i="2"/>
  <c r="D16" i="9" s="1"/>
  <c r="E16" i="9" s="1"/>
  <c r="G16" i="9" s="1"/>
  <c r="T14" i="4"/>
  <c r="Q14" i="4"/>
  <c r="G16" i="1" s="1"/>
  <c r="N16" i="4"/>
  <c r="S16" i="4" s="1"/>
  <c r="K17" i="4"/>
  <c r="S15" i="4"/>
  <c r="O15" i="4"/>
  <c r="L16" i="4"/>
  <c r="G18" i="2"/>
  <c r="B20" i="2"/>
  <c r="C19" i="2"/>
  <c r="D19" i="2" s="1"/>
  <c r="C15" i="1"/>
  <c r="D15" i="1" s="1"/>
  <c r="D15" i="7"/>
  <c r="H13" i="7"/>
  <c r="E13" i="1" s="1"/>
  <c r="I13" i="1" s="1"/>
  <c r="E12" i="1"/>
  <c r="I12" i="1" s="1"/>
  <c r="G14" i="7"/>
  <c r="F14" i="7"/>
  <c r="E14" i="7"/>
  <c r="F18" i="2"/>
  <c r="E18" i="2"/>
  <c r="B22" i="8"/>
  <c r="I21" i="8"/>
  <c r="J21" i="8" s="1"/>
  <c r="G21" i="8"/>
  <c r="H21" i="8" s="1"/>
  <c r="U18" i="1"/>
  <c r="V18" i="1" s="1"/>
  <c r="S18" i="1"/>
  <c r="T18" i="1" s="1"/>
  <c r="L18" i="1"/>
  <c r="J18" i="1"/>
  <c r="A19" i="1"/>
  <c r="K15" i="9" l="1"/>
  <c r="F15" i="1" s="1"/>
  <c r="H16" i="9"/>
  <c r="J16" i="9"/>
  <c r="C16" i="7"/>
  <c r="D17" i="9"/>
  <c r="E17" i="9" s="1"/>
  <c r="G17" i="9" s="1"/>
  <c r="C17" i="7"/>
  <c r="I16" i="9"/>
  <c r="Q15" i="4"/>
  <c r="G17" i="1" s="1"/>
  <c r="P17" i="4"/>
  <c r="U17" i="4" s="1"/>
  <c r="P16" i="4"/>
  <c r="U16" i="4" s="1"/>
  <c r="T15" i="4"/>
  <c r="O16" i="4"/>
  <c r="L17" i="4"/>
  <c r="K18" i="4"/>
  <c r="N17" i="4"/>
  <c r="M12" i="1"/>
  <c r="K12" i="1"/>
  <c r="W12" i="1"/>
  <c r="M13" i="1"/>
  <c r="W13" i="1"/>
  <c r="K13" i="1"/>
  <c r="G15" i="7"/>
  <c r="E15" i="7"/>
  <c r="F15" i="7"/>
  <c r="F19" i="2"/>
  <c r="E19" i="2"/>
  <c r="B21" i="2"/>
  <c r="C20" i="2"/>
  <c r="D20" i="2" s="1"/>
  <c r="H14" i="7"/>
  <c r="C16" i="1"/>
  <c r="D16" i="1" s="1"/>
  <c r="D16" i="7"/>
  <c r="G19" i="2"/>
  <c r="B23" i="8"/>
  <c r="G22" i="8"/>
  <c r="H22" i="8" s="1"/>
  <c r="I22" i="8"/>
  <c r="J22" i="8" s="1"/>
  <c r="U19" i="1"/>
  <c r="V19" i="1" s="1"/>
  <c r="S19" i="1"/>
  <c r="L19" i="1"/>
  <c r="J19" i="1"/>
  <c r="A20" i="1"/>
  <c r="T19" i="1"/>
  <c r="K16" i="9" l="1"/>
  <c r="F16" i="1" s="1"/>
  <c r="J17" i="9"/>
  <c r="I17" i="9"/>
  <c r="H17" i="9"/>
  <c r="D18" i="9"/>
  <c r="E18" i="9" s="1"/>
  <c r="G18" i="9" s="1"/>
  <c r="C18" i="7"/>
  <c r="Q16" i="4"/>
  <c r="G18" i="1" s="1"/>
  <c r="T16" i="4"/>
  <c r="S17" i="4"/>
  <c r="N18" i="4"/>
  <c r="S18" i="4" s="1"/>
  <c r="K19" i="4"/>
  <c r="L18" i="4"/>
  <c r="O17" i="4"/>
  <c r="P18" i="4"/>
  <c r="U18" i="4" s="1"/>
  <c r="G16" i="7"/>
  <c r="F16" i="7"/>
  <c r="E16" i="7"/>
  <c r="E14" i="1"/>
  <c r="I14" i="1" s="1"/>
  <c r="G20" i="2"/>
  <c r="B22" i="2"/>
  <c r="C21" i="2"/>
  <c r="D21" i="2" s="1"/>
  <c r="D17" i="7"/>
  <c r="C17" i="1"/>
  <c r="D17" i="1" s="1"/>
  <c r="F20" i="2"/>
  <c r="E20" i="2"/>
  <c r="H15" i="7"/>
  <c r="E15" i="1" s="1"/>
  <c r="I15" i="1" s="1"/>
  <c r="B24" i="8"/>
  <c r="I23" i="8"/>
  <c r="J23" i="8" s="1"/>
  <c r="G23" i="8"/>
  <c r="H23" i="8" s="1"/>
  <c r="U20" i="1"/>
  <c r="V20" i="1" s="1"/>
  <c r="S20" i="1"/>
  <c r="T20" i="1" s="1"/>
  <c r="L20" i="1"/>
  <c r="J20" i="1"/>
  <c r="A21" i="1"/>
  <c r="J18" i="9" l="1"/>
  <c r="K17" i="9"/>
  <c r="F17" i="1" s="1"/>
  <c r="D19" i="9"/>
  <c r="E19" i="9" s="1"/>
  <c r="G19" i="9" s="1"/>
  <c r="C19" i="7"/>
  <c r="H18" i="9"/>
  <c r="I18" i="9"/>
  <c r="Q17" i="4"/>
  <c r="G19" i="1" s="1"/>
  <c r="T17" i="4"/>
  <c r="P19" i="4"/>
  <c r="U19" i="4" s="1"/>
  <c r="K20" i="4"/>
  <c r="N19" i="4"/>
  <c r="O18" i="4"/>
  <c r="L19" i="4"/>
  <c r="H16" i="7"/>
  <c r="E16" i="1" s="1"/>
  <c r="I16" i="1" s="1"/>
  <c r="M16" i="1" s="1"/>
  <c r="G17" i="7"/>
  <c r="E17" i="7"/>
  <c r="F17" i="7"/>
  <c r="G21" i="2"/>
  <c r="K15" i="1"/>
  <c r="M15" i="1"/>
  <c r="W15" i="1"/>
  <c r="D18" i="7"/>
  <c r="C18" i="1"/>
  <c r="D18" i="1" s="1"/>
  <c r="F21" i="2"/>
  <c r="E21" i="2"/>
  <c r="B23" i="2"/>
  <c r="C22" i="2"/>
  <c r="D22" i="2" s="1"/>
  <c r="W14" i="1"/>
  <c r="K14" i="1"/>
  <c r="M14" i="1"/>
  <c r="B25" i="8"/>
  <c r="G24" i="8"/>
  <c r="H24" i="8" s="1"/>
  <c r="I24" i="8"/>
  <c r="J24" i="8" s="1"/>
  <c r="U21" i="1"/>
  <c r="V21" i="1" s="1"/>
  <c r="S21" i="1"/>
  <c r="T21" i="1" s="1"/>
  <c r="L21" i="1"/>
  <c r="J21" i="1"/>
  <c r="A22" i="1"/>
  <c r="D20" i="9" l="1"/>
  <c r="E20" i="9" s="1"/>
  <c r="G20" i="9" s="1"/>
  <c r="C20" i="7"/>
  <c r="K18" i="9"/>
  <c r="F18" i="1" s="1"/>
  <c r="T18" i="4"/>
  <c r="Q18" i="4"/>
  <c r="G20" i="1" s="1"/>
  <c r="P20" i="4"/>
  <c r="U20" i="4" s="1"/>
  <c r="K16" i="1"/>
  <c r="W16" i="1"/>
  <c r="L20" i="4"/>
  <c r="O19" i="4"/>
  <c r="K21" i="4"/>
  <c r="N20" i="4"/>
  <c r="S20" i="4" s="1"/>
  <c r="S19" i="4"/>
  <c r="H17" i="7"/>
  <c r="E17" i="1" s="1"/>
  <c r="I17" i="1" s="1"/>
  <c r="K17" i="1" s="1"/>
  <c r="B24" i="2"/>
  <c r="C23" i="2"/>
  <c r="D23" i="2" s="1"/>
  <c r="F22" i="2"/>
  <c r="E22" i="2"/>
  <c r="D19" i="7"/>
  <c r="C19" i="1"/>
  <c r="D19" i="1" s="1"/>
  <c r="G22" i="2"/>
  <c r="G18" i="7"/>
  <c r="F18" i="7"/>
  <c r="E18" i="7"/>
  <c r="B26" i="8"/>
  <c r="I25" i="8"/>
  <c r="J25" i="8" s="1"/>
  <c r="G25" i="8"/>
  <c r="H25" i="8" s="1"/>
  <c r="U22" i="1"/>
  <c r="V22" i="1" s="1"/>
  <c r="S22" i="1"/>
  <c r="L22" i="1"/>
  <c r="J22" i="1"/>
  <c r="A23" i="1"/>
  <c r="T22" i="1"/>
  <c r="H19" i="9" l="1"/>
  <c r="I19" i="9"/>
  <c r="H20" i="9"/>
  <c r="J19" i="9"/>
  <c r="D21" i="9"/>
  <c r="E21" i="9" s="1"/>
  <c r="G21" i="9" s="1"/>
  <c r="C21" i="7"/>
  <c r="T19" i="4"/>
  <c r="Q19" i="4"/>
  <c r="G21" i="1" s="1"/>
  <c r="P21" i="4"/>
  <c r="U21" i="4" s="1"/>
  <c r="N21" i="4"/>
  <c r="K22" i="4"/>
  <c r="L21" i="4"/>
  <c r="O20" i="4"/>
  <c r="W17" i="1"/>
  <c r="M17" i="1"/>
  <c r="F23" i="2"/>
  <c r="E23" i="2"/>
  <c r="B25" i="2"/>
  <c r="C24" i="2"/>
  <c r="D24" i="2" s="1"/>
  <c r="H18" i="7"/>
  <c r="E18" i="1" s="1"/>
  <c r="I18" i="1" s="1"/>
  <c r="G19" i="7"/>
  <c r="E19" i="7"/>
  <c r="F19" i="7"/>
  <c r="C20" i="1"/>
  <c r="D20" i="1" s="1"/>
  <c r="D20" i="7"/>
  <c r="G23" i="2"/>
  <c r="B27" i="8"/>
  <c r="G26" i="8"/>
  <c r="H26" i="8" s="1"/>
  <c r="I26" i="8"/>
  <c r="J26" i="8" s="1"/>
  <c r="U23" i="1"/>
  <c r="V23" i="1" s="1"/>
  <c r="S23" i="1"/>
  <c r="T23" i="1" s="1"/>
  <c r="L23" i="1"/>
  <c r="J23" i="1"/>
  <c r="A24" i="1"/>
  <c r="S21" i="4"/>
  <c r="J21" i="9" l="1"/>
  <c r="J20" i="9"/>
  <c r="I20" i="9"/>
  <c r="K19" i="9"/>
  <c r="F19" i="1" s="1"/>
  <c r="D22" i="9"/>
  <c r="E22" i="9" s="1"/>
  <c r="G22" i="9" s="1"/>
  <c r="C22" i="7"/>
  <c r="I21" i="9"/>
  <c r="P22" i="4"/>
  <c r="U22" i="4" s="1"/>
  <c r="T20" i="4"/>
  <c r="Q20" i="4"/>
  <c r="G22" i="1" s="1"/>
  <c r="K23" i="4"/>
  <c r="N22" i="4"/>
  <c r="O21" i="4"/>
  <c r="L22" i="4"/>
  <c r="H19" i="7"/>
  <c r="E19" i="1" s="1"/>
  <c r="G20" i="7"/>
  <c r="F20" i="7"/>
  <c r="E20" i="7"/>
  <c r="G24" i="2"/>
  <c r="B26" i="2"/>
  <c r="C25" i="2"/>
  <c r="D25" i="2" s="1"/>
  <c r="D21" i="7"/>
  <c r="C21" i="1"/>
  <c r="D21" i="1" s="1"/>
  <c r="K18" i="1"/>
  <c r="M18" i="1"/>
  <c r="W18" i="1"/>
  <c r="F24" i="2"/>
  <c r="E24" i="2"/>
  <c r="B28" i="8"/>
  <c r="I27" i="8"/>
  <c r="J27" i="8" s="1"/>
  <c r="G27" i="8"/>
  <c r="H27" i="8" s="1"/>
  <c r="U24" i="1"/>
  <c r="V24" i="1" s="1"/>
  <c r="S24" i="1"/>
  <c r="T24" i="1" s="1"/>
  <c r="L24" i="1"/>
  <c r="J24" i="1"/>
  <c r="A25" i="1"/>
  <c r="I19" i="1" l="1"/>
  <c r="M19" i="1" s="1"/>
  <c r="K20" i="9"/>
  <c r="F20" i="1" s="1"/>
  <c r="H22" i="9"/>
  <c r="H21" i="9"/>
  <c r="K21" i="9" s="1"/>
  <c r="F21" i="1" s="1"/>
  <c r="D23" i="9"/>
  <c r="E23" i="9" s="1"/>
  <c r="G23" i="9" s="1"/>
  <c r="C23" i="7"/>
  <c r="G25" i="2"/>
  <c r="I22" i="9"/>
  <c r="J22" i="9"/>
  <c r="Q21" i="4"/>
  <c r="G23" i="1" s="1"/>
  <c r="T21" i="4"/>
  <c r="K24" i="4"/>
  <c r="N23" i="4"/>
  <c r="S23" i="4" s="1"/>
  <c r="L23" i="4"/>
  <c r="O22" i="4"/>
  <c r="S22" i="4"/>
  <c r="P23" i="4"/>
  <c r="U23" i="4" s="1"/>
  <c r="D22" i="7"/>
  <c r="C22" i="1"/>
  <c r="D22" i="1" s="1"/>
  <c r="G21" i="7"/>
  <c r="E21" i="7"/>
  <c r="F21" i="7"/>
  <c r="H20" i="7"/>
  <c r="E20" i="1" s="1"/>
  <c r="F25" i="2"/>
  <c r="E25" i="2"/>
  <c r="B27" i="2"/>
  <c r="C26" i="2"/>
  <c r="D26" i="2" s="1"/>
  <c r="B29" i="8"/>
  <c r="G28" i="8"/>
  <c r="H28" i="8" s="1"/>
  <c r="I28" i="8"/>
  <c r="J28" i="8" s="1"/>
  <c r="U25" i="1"/>
  <c r="V25" i="1" s="1"/>
  <c r="S25" i="1"/>
  <c r="T25" i="1" s="1"/>
  <c r="L25" i="1"/>
  <c r="J25" i="1"/>
  <c r="A26" i="1"/>
  <c r="K19" i="1" l="1"/>
  <c r="W19" i="1"/>
  <c r="I20" i="1"/>
  <c r="M20" i="1" s="1"/>
  <c r="J23" i="9"/>
  <c r="K22" i="9"/>
  <c r="F22" i="1" s="1"/>
  <c r="D24" i="9"/>
  <c r="E24" i="9" s="1"/>
  <c r="G24" i="9" s="1"/>
  <c r="C24" i="7"/>
  <c r="I23" i="9"/>
  <c r="H23" i="9"/>
  <c r="T22" i="4"/>
  <c r="Q22" i="4"/>
  <c r="G24" i="1" s="1"/>
  <c r="L24" i="4"/>
  <c r="O23" i="4"/>
  <c r="K25" i="4"/>
  <c r="N24" i="4"/>
  <c r="S24" i="4" s="1"/>
  <c r="P24" i="4"/>
  <c r="U24" i="4" s="1"/>
  <c r="H21" i="7"/>
  <c r="E21" i="1" s="1"/>
  <c r="I21" i="1" s="1"/>
  <c r="W21" i="1" s="1"/>
  <c r="G26" i="2"/>
  <c r="B28" i="2"/>
  <c r="C27" i="2"/>
  <c r="D27" i="2" s="1"/>
  <c r="C23" i="1"/>
  <c r="D23" i="1" s="1"/>
  <c r="D23" i="7"/>
  <c r="G22" i="7"/>
  <c r="F22" i="7"/>
  <c r="E22" i="7"/>
  <c r="F26" i="2"/>
  <c r="E26" i="2"/>
  <c r="B30" i="8"/>
  <c r="I29" i="8"/>
  <c r="J29" i="8" s="1"/>
  <c r="G29" i="8"/>
  <c r="H29" i="8" s="1"/>
  <c r="U26" i="1"/>
  <c r="V26" i="1" s="1"/>
  <c r="S26" i="1"/>
  <c r="T26" i="1" s="1"/>
  <c r="L26" i="1"/>
  <c r="J26" i="1"/>
  <c r="A27" i="1"/>
  <c r="W20" i="1" l="1"/>
  <c r="K20" i="1"/>
  <c r="J24" i="9"/>
  <c r="I24" i="9"/>
  <c r="H24" i="9"/>
  <c r="K23" i="9"/>
  <c r="F23" i="1" s="1"/>
  <c r="D25" i="9"/>
  <c r="E25" i="9" s="1"/>
  <c r="G25" i="9" s="1"/>
  <c r="C25" i="7"/>
  <c r="T23" i="4"/>
  <c r="Q23" i="4"/>
  <c r="G25" i="1" s="1"/>
  <c r="P25" i="4"/>
  <c r="U25" i="4" s="1"/>
  <c r="K21" i="1"/>
  <c r="L25" i="4"/>
  <c r="O24" i="4"/>
  <c r="N25" i="4"/>
  <c r="S25" i="4" s="1"/>
  <c r="K26" i="4"/>
  <c r="M21" i="1"/>
  <c r="H22" i="7"/>
  <c r="E22" i="1" s="1"/>
  <c r="I22" i="1" s="1"/>
  <c r="K22" i="1" s="1"/>
  <c r="G23" i="7"/>
  <c r="E23" i="7"/>
  <c r="F23" i="7"/>
  <c r="F27" i="2"/>
  <c r="E27" i="2"/>
  <c r="B29" i="2"/>
  <c r="C28" i="2"/>
  <c r="C24" i="1"/>
  <c r="D24" i="1" s="1"/>
  <c r="D24" i="7"/>
  <c r="G27" i="2"/>
  <c r="B31" i="8"/>
  <c r="G30" i="8"/>
  <c r="H30" i="8" s="1"/>
  <c r="I30" i="8"/>
  <c r="J30" i="8" s="1"/>
  <c r="U27" i="1"/>
  <c r="V27" i="1" s="1"/>
  <c r="S27" i="1"/>
  <c r="T27" i="1" s="1"/>
  <c r="L27" i="1"/>
  <c r="J27" i="1"/>
  <c r="A28" i="1"/>
  <c r="H25" i="9" l="1"/>
  <c r="K24" i="9"/>
  <c r="F24" i="1" s="1"/>
  <c r="I25" i="9"/>
  <c r="D26" i="9"/>
  <c r="E26" i="9" s="1"/>
  <c r="G26" i="9" s="1"/>
  <c r="C26" i="7"/>
  <c r="T24" i="4"/>
  <c r="Q24" i="4"/>
  <c r="G26" i="1" s="1"/>
  <c r="W22" i="1"/>
  <c r="K27" i="4"/>
  <c r="N26" i="4"/>
  <c r="S26" i="4" s="1"/>
  <c r="O25" i="4"/>
  <c r="L26" i="4"/>
  <c r="M22" i="1"/>
  <c r="G24" i="7"/>
  <c r="F24" i="7"/>
  <c r="E24" i="7"/>
  <c r="F28" i="2"/>
  <c r="E28" i="2"/>
  <c r="D25" i="7"/>
  <c r="C25" i="1"/>
  <c r="D25" i="1" s="1"/>
  <c r="B30" i="2"/>
  <c r="C29" i="2"/>
  <c r="D29" i="2" s="1"/>
  <c r="D28" i="2"/>
  <c r="H23" i="7"/>
  <c r="E23" i="1" s="1"/>
  <c r="I23" i="1" s="1"/>
  <c r="B32" i="8"/>
  <c r="I31" i="8"/>
  <c r="J31" i="8" s="1"/>
  <c r="G31" i="8"/>
  <c r="H31" i="8" s="1"/>
  <c r="U28" i="1"/>
  <c r="V28" i="1" s="1"/>
  <c r="S28" i="1"/>
  <c r="L28" i="1"/>
  <c r="J28" i="1"/>
  <c r="A29" i="1"/>
  <c r="T28" i="1"/>
  <c r="J26" i="9" l="1"/>
  <c r="J25" i="9"/>
  <c r="K25" i="9" s="1"/>
  <c r="F25" i="1" s="1"/>
  <c r="I26" i="9"/>
  <c r="H26" i="9"/>
  <c r="Q25" i="4"/>
  <c r="G27" i="1" s="1"/>
  <c r="T25" i="4"/>
  <c r="P27" i="4"/>
  <c r="U27" i="4" s="1"/>
  <c r="P26" i="4"/>
  <c r="U26" i="4" s="1"/>
  <c r="N27" i="4"/>
  <c r="K28" i="4"/>
  <c r="L27" i="4"/>
  <c r="O26" i="4"/>
  <c r="H24" i="7"/>
  <c r="E24" i="1" s="1"/>
  <c r="I24" i="1" s="1"/>
  <c r="K24" i="1" s="1"/>
  <c r="M23" i="1"/>
  <c r="K23" i="1"/>
  <c r="W23" i="1"/>
  <c r="G28" i="2"/>
  <c r="D27" i="9" s="1"/>
  <c r="E27" i="9" s="1"/>
  <c r="G27" i="9" s="1"/>
  <c r="G29" i="2"/>
  <c r="F29" i="2"/>
  <c r="E29" i="2"/>
  <c r="B31" i="2"/>
  <c r="C30" i="2"/>
  <c r="D30" i="2" s="1"/>
  <c r="G25" i="7"/>
  <c r="E25" i="7"/>
  <c r="F25" i="7"/>
  <c r="D26" i="7"/>
  <c r="C26" i="1"/>
  <c r="D26" i="1" s="1"/>
  <c r="B33" i="8"/>
  <c r="G32" i="8"/>
  <c r="H32" i="8" s="1"/>
  <c r="I32" i="8"/>
  <c r="J32" i="8" s="1"/>
  <c r="U29" i="1"/>
  <c r="V29" i="1" s="1"/>
  <c r="S29" i="1"/>
  <c r="T29" i="1" s="1"/>
  <c r="L29" i="1"/>
  <c r="J29" i="1"/>
  <c r="A30" i="1"/>
  <c r="K26" i="9" l="1"/>
  <c r="F26" i="1" s="1"/>
  <c r="I27" i="9"/>
  <c r="H27" i="9"/>
  <c r="J27" i="9"/>
  <c r="C27" i="7"/>
  <c r="C27" i="1" s="1"/>
  <c r="D27" i="1" s="1"/>
  <c r="D28" i="9"/>
  <c r="E28" i="9" s="1"/>
  <c r="G28" i="9" s="1"/>
  <c r="C28" i="7"/>
  <c r="T26" i="4"/>
  <c r="Q26" i="4"/>
  <c r="G28" i="1" s="1"/>
  <c r="W24" i="1"/>
  <c r="M24" i="1"/>
  <c r="N28" i="4"/>
  <c r="S28" i="4" s="1"/>
  <c r="K29" i="4"/>
  <c r="O27" i="4"/>
  <c r="L28" i="4"/>
  <c r="S27" i="4"/>
  <c r="P28" i="4"/>
  <c r="U28" i="4" s="1"/>
  <c r="H25" i="7"/>
  <c r="E25" i="1" s="1"/>
  <c r="I25" i="1" s="1"/>
  <c r="K25" i="1" s="1"/>
  <c r="G26" i="7"/>
  <c r="F26" i="7"/>
  <c r="E26" i="7"/>
  <c r="F30" i="2"/>
  <c r="E30" i="2"/>
  <c r="G30" i="2"/>
  <c r="B32" i="2"/>
  <c r="C31" i="2"/>
  <c r="D31" i="2" s="1"/>
  <c r="D27" i="7"/>
  <c r="B34" i="8"/>
  <c r="I33" i="8"/>
  <c r="J33" i="8" s="1"/>
  <c r="G33" i="8"/>
  <c r="H33" i="8" s="1"/>
  <c r="U30" i="1"/>
  <c r="V30" i="1" s="1"/>
  <c r="S30" i="1"/>
  <c r="T30" i="1" s="1"/>
  <c r="L30" i="1"/>
  <c r="J30" i="1"/>
  <c r="A31" i="1"/>
  <c r="H28" i="9" l="1"/>
  <c r="K27" i="9"/>
  <c r="F27" i="1" s="1"/>
  <c r="D29" i="9"/>
  <c r="E29" i="9" s="1"/>
  <c r="G29" i="9" s="1"/>
  <c r="C29" i="7"/>
  <c r="I28" i="9"/>
  <c r="J28" i="9"/>
  <c r="Q27" i="4"/>
  <c r="G29" i="1" s="1"/>
  <c r="T27" i="4"/>
  <c r="P29" i="4"/>
  <c r="U29" i="4" s="1"/>
  <c r="O28" i="4"/>
  <c r="L29" i="4"/>
  <c r="N29" i="4"/>
  <c r="S29" i="4" s="1"/>
  <c r="K30" i="4"/>
  <c r="W25" i="1"/>
  <c r="M25" i="1"/>
  <c r="F31" i="2"/>
  <c r="E31" i="2"/>
  <c r="B33" i="2"/>
  <c r="C32" i="2"/>
  <c r="D32" i="2" s="1"/>
  <c r="H26" i="7"/>
  <c r="E26" i="1" s="1"/>
  <c r="I26" i="1" s="1"/>
  <c r="G27" i="7"/>
  <c r="E27" i="7"/>
  <c r="F27" i="7"/>
  <c r="G31" i="2"/>
  <c r="C28" i="1"/>
  <c r="D28" i="1" s="1"/>
  <c r="D28" i="7"/>
  <c r="B35" i="8"/>
  <c r="G34" i="8"/>
  <c r="H34" i="8" s="1"/>
  <c r="I34" i="8"/>
  <c r="J34" i="8" s="1"/>
  <c r="U31" i="1"/>
  <c r="V31" i="1" s="1"/>
  <c r="S31" i="1"/>
  <c r="L31" i="1"/>
  <c r="J31" i="1"/>
  <c r="A32" i="1"/>
  <c r="T31" i="1"/>
  <c r="J29" i="9" l="1"/>
  <c r="K28" i="9"/>
  <c r="F28" i="1" s="1"/>
  <c r="I29" i="9"/>
  <c r="D30" i="9"/>
  <c r="E30" i="9" s="1"/>
  <c r="G30" i="9" s="1"/>
  <c r="C30" i="7"/>
  <c r="H29" i="9"/>
  <c r="P30" i="4"/>
  <c r="U30" i="4" s="1"/>
  <c r="Q28" i="4"/>
  <c r="G30" i="1" s="1"/>
  <c r="T28" i="4"/>
  <c r="K31" i="4"/>
  <c r="N30" i="4"/>
  <c r="O29" i="4"/>
  <c r="L30" i="4"/>
  <c r="H27" i="7"/>
  <c r="E27" i="1" s="1"/>
  <c r="I27" i="1" s="1"/>
  <c r="W27" i="1" s="1"/>
  <c r="G28" i="7"/>
  <c r="E28" i="7"/>
  <c r="F28" i="7"/>
  <c r="G32" i="2"/>
  <c r="B34" i="2"/>
  <c r="C33" i="2"/>
  <c r="D33" i="2" s="1"/>
  <c r="W26" i="1"/>
  <c r="K26" i="1"/>
  <c r="M26" i="1"/>
  <c r="D29" i="7"/>
  <c r="C29" i="1"/>
  <c r="D29" i="1" s="1"/>
  <c r="F32" i="2"/>
  <c r="E32" i="2"/>
  <c r="B36" i="8"/>
  <c r="I35" i="8"/>
  <c r="J35" i="8" s="1"/>
  <c r="G35" i="8"/>
  <c r="H35" i="8" s="1"/>
  <c r="U32" i="1"/>
  <c r="V32" i="1" s="1"/>
  <c r="S32" i="1"/>
  <c r="T32" i="1" s="1"/>
  <c r="L32" i="1"/>
  <c r="J32" i="1"/>
  <c r="A33" i="1"/>
  <c r="H30" i="9" l="1"/>
  <c r="K29" i="9"/>
  <c r="F29" i="1" s="1"/>
  <c r="G33" i="2"/>
  <c r="D31" i="9"/>
  <c r="E31" i="9" s="1"/>
  <c r="G31" i="9" s="1"/>
  <c r="C31" i="7"/>
  <c r="I30" i="9"/>
  <c r="J30" i="9"/>
  <c r="P31" i="4"/>
  <c r="U31" i="4" s="1"/>
  <c r="Q29" i="4"/>
  <c r="G31" i="1" s="1"/>
  <c r="T29" i="4"/>
  <c r="K27" i="1"/>
  <c r="K32" i="4"/>
  <c r="N31" i="4"/>
  <c r="S31" i="4" s="1"/>
  <c r="L31" i="4"/>
  <c r="O30" i="4"/>
  <c r="S30" i="4"/>
  <c r="H28" i="7"/>
  <c r="E28" i="1" s="1"/>
  <c r="I28" i="1" s="1"/>
  <c r="K28" i="1" s="1"/>
  <c r="M27" i="1"/>
  <c r="D30" i="7"/>
  <c r="C30" i="1"/>
  <c r="D30" i="1" s="1"/>
  <c r="G29" i="7"/>
  <c r="E29" i="7"/>
  <c r="F29" i="7"/>
  <c r="F33" i="2"/>
  <c r="E33" i="2"/>
  <c r="B35" i="2"/>
  <c r="C34" i="2"/>
  <c r="D34" i="2" s="1"/>
  <c r="B37" i="8"/>
  <c r="G36" i="8"/>
  <c r="H36" i="8" s="1"/>
  <c r="I36" i="8"/>
  <c r="J36" i="8" s="1"/>
  <c r="U33" i="1"/>
  <c r="V33" i="1" s="1"/>
  <c r="S33" i="1"/>
  <c r="T33" i="1" s="1"/>
  <c r="L33" i="1"/>
  <c r="J33" i="1"/>
  <c r="A34" i="1"/>
  <c r="J31" i="9" l="1"/>
  <c r="K30" i="9"/>
  <c r="F30" i="1" s="1"/>
  <c r="I31" i="9"/>
  <c r="D32" i="9"/>
  <c r="E32" i="9" s="1"/>
  <c r="G32" i="9" s="1"/>
  <c r="C32" i="7"/>
  <c r="P32" i="4"/>
  <c r="U32" i="4" s="1"/>
  <c r="T30" i="4"/>
  <c r="Q30" i="4"/>
  <c r="G32" i="1" s="1"/>
  <c r="W28" i="1"/>
  <c r="M28" i="1"/>
  <c r="L32" i="4"/>
  <c r="O31" i="4"/>
  <c r="K33" i="4"/>
  <c r="N32" i="4"/>
  <c r="H29" i="7"/>
  <c r="E29" i="1" s="1"/>
  <c r="I29" i="1" s="1"/>
  <c r="M29" i="1" s="1"/>
  <c r="C31" i="1"/>
  <c r="D31" i="1" s="1"/>
  <c r="D31" i="7"/>
  <c r="F34" i="2"/>
  <c r="E34" i="2"/>
  <c r="G30" i="7"/>
  <c r="E30" i="7"/>
  <c r="F30" i="7"/>
  <c r="G34" i="2"/>
  <c r="B36" i="2"/>
  <c r="C35" i="2"/>
  <c r="D35" i="2" s="1"/>
  <c r="B38" i="8"/>
  <c r="I37" i="8"/>
  <c r="J37" i="8" s="1"/>
  <c r="G37" i="8"/>
  <c r="H37" i="8" s="1"/>
  <c r="U34" i="1"/>
  <c r="V34" i="1" s="1"/>
  <c r="S34" i="1"/>
  <c r="T34" i="1" s="1"/>
  <c r="L34" i="1"/>
  <c r="J34" i="1"/>
  <c r="A35" i="1"/>
  <c r="H32" i="9" l="1"/>
  <c r="H31" i="9"/>
  <c r="K31" i="9" s="1"/>
  <c r="F31" i="1" s="1"/>
  <c r="D33" i="9"/>
  <c r="E33" i="9" s="1"/>
  <c r="G33" i="9" s="1"/>
  <c r="C33" i="7"/>
  <c r="I32" i="9"/>
  <c r="J32" i="9"/>
  <c r="P33" i="4"/>
  <c r="U33" i="4" s="1"/>
  <c r="T31" i="4"/>
  <c r="Q31" i="4"/>
  <c r="G33" i="1" s="1"/>
  <c r="K29" i="1"/>
  <c r="W29" i="1"/>
  <c r="S32" i="4"/>
  <c r="L33" i="4"/>
  <c r="O32" i="4"/>
  <c r="N33" i="4"/>
  <c r="S33" i="4" s="1"/>
  <c r="K34" i="4"/>
  <c r="F35" i="2"/>
  <c r="E35" i="2"/>
  <c r="B37" i="2"/>
  <c r="C36" i="2"/>
  <c r="D36" i="2" s="1"/>
  <c r="C32" i="1"/>
  <c r="D32" i="1" s="1"/>
  <c r="D32" i="7"/>
  <c r="G35" i="2"/>
  <c r="F31" i="7"/>
  <c r="G31" i="7"/>
  <c r="E31" i="7"/>
  <c r="H30" i="7"/>
  <c r="E30" i="1" s="1"/>
  <c r="I30" i="1" s="1"/>
  <c r="B39" i="8"/>
  <c r="G38" i="8"/>
  <c r="H38" i="8" s="1"/>
  <c r="I38" i="8"/>
  <c r="J38" i="8" s="1"/>
  <c r="U35" i="1"/>
  <c r="V35" i="1" s="1"/>
  <c r="S35" i="1"/>
  <c r="T35" i="1" s="1"/>
  <c r="L35" i="1"/>
  <c r="J35" i="1"/>
  <c r="A36" i="1"/>
  <c r="F51" i="9" l="1"/>
  <c r="J33" i="9"/>
  <c r="K32" i="9"/>
  <c r="F32" i="1" s="1"/>
  <c r="D34" i="9"/>
  <c r="E34" i="9" s="1"/>
  <c r="G34" i="9" s="1"/>
  <c r="C34" i="7"/>
  <c r="H33" i="9"/>
  <c r="I33" i="9"/>
  <c r="T32" i="4"/>
  <c r="Q32" i="4"/>
  <c r="G34" i="1" s="1"/>
  <c r="N34" i="4"/>
  <c r="S34" i="4" s="1"/>
  <c r="K35" i="4"/>
  <c r="O33" i="4"/>
  <c r="L34" i="4"/>
  <c r="P34" i="4"/>
  <c r="U34" i="4" s="1"/>
  <c r="H31" i="7"/>
  <c r="E31" i="1" s="1"/>
  <c r="I31" i="1" s="1"/>
  <c r="M31" i="1" s="1"/>
  <c r="G36" i="2"/>
  <c r="G32" i="7"/>
  <c r="E32" i="7"/>
  <c r="F32" i="7"/>
  <c r="B38" i="2"/>
  <c r="C37" i="2"/>
  <c r="D37" i="2" s="1"/>
  <c r="K30" i="1"/>
  <c r="M30" i="1"/>
  <c r="W30" i="1"/>
  <c r="D33" i="7"/>
  <c r="C33" i="1"/>
  <c r="D33" i="1" s="1"/>
  <c r="F36" i="2"/>
  <c r="E36" i="2"/>
  <c r="B40" i="8"/>
  <c r="I39" i="8"/>
  <c r="J39" i="8" s="1"/>
  <c r="G39" i="8"/>
  <c r="H39" i="8" s="1"/>
  <c r="U36" i="1"/>
  <c r="V36" i="1" s="1"/>
  <c r="S36" i="1"/>
  <c r="T36" i="1" s="1"/>
  <c r="L36" i="1"/>
  <c r="J36" i="1"/>
  <c r="A37" i="1"/>
  <c r="F52" i="9" l="1"/>
  <c r="H34" i="9"/>
  <c r="K33" i="9"/>
  <c r="F33" i="1" s="1"/>
  <c r="D35" i="9"/>
  <c r="E35" i="9" s="1"/>
  <c r="G35" i="9" s="1"/>
  <c r="C35" i="7"/>
  <c r="I34" i="9"/>
  <c r="J34" i="9"/>
  <c r="T33" i="4"/>
  <c r="Q33" i="4"/>
  <c r="G35" i="1" s="1"/>
  <c r="K31" i="1"/>
  <c r="P35" i="4"/>
  <c r="U35" i="4" s="1"/>
  <c r="W31" i="1"/>
  <c r="O34" i="4"/>
  <c r="L35" i="4"/>
  <c r="N35" i="4"/>
  <c r="S35" i="4" s="1"/>
  <c r="K36" i="4"/>
  <c r="F37" i="2"/>
  <c r="E37" i="2"/>
  <c r="B39" i="2"/>
  <c r="C38" i="2"/>
  <c r="D38" i="2" s="1"/>
  <c r="H32" i="7"/>
  <c r="E32" i="1" s="1"/>
  <c r="I32" i="1" s="1"/>
  <c r="D34" i="7"/>
  <c r="C34" i="1"/>
  <c r="D34" i="1" s="1"/>
  <c r="G33" i="7"/>
  <c r="F33" i="7"/>
  <c r="E33" i="7"/>
  <c r="G37" i="2"/>
  <c r="B41" i="8"/>
  <c r="G40" i="8"/>
  <c r="H40" i="8" s="1"/>
  <c r="I40" i="8"/>
  <c r="J40" i="8" s="1"/>
  <c r="U37" i="1"/>
  <c r="V37" i="1" s="1"/>
  <c r="S37" i="1"/>
  <c r="T37" i="1" s="1"/>
  <c r="L37" i="1"/>
  <c r="J37" i="1"/>
  <c r="A38" i="1"/>
  <c r="F53" i="9" l="1"/>
  <c r="J35" i="9"/>
  <c r="K34" i="9"/>
  <c r="F34" i="1" s="1"/>
  <c r="I35" i="9"/>
  <c r="D36" i="9"/>
  <c r="E36" i="9" s="1"/>
  <c r="G36" i="9" s="1"/>
  <c r="C36" i="7"/>
  <c r="T34" i="4"/>
  <c r="Q34" i="4"/>
  <c r="G36" i="1" s="1"/>
  <c r="K37" i="4"/>
  <c r="N36" i="4"/>
  <c r="P36" i="4"/>
  <c r="U36" i="4" s="1"/>
  <c r="O35" i="4"/>
  <c r="L36" i="4"/>
  <c r="M32" i="1"/>
  <c r="K32" i="1"/>
  <c r="W32" i="1"/>
  <c r="G38" i="2"/>
  <c r="B40" i="2"/>
  <c r="C39" i="2"/>
  <c r="D39" i="2" s="1"/>
  <c r="G39" i="2" s="1"/>
  <c r="D35" i="7"/>
  <c r="C35" i="1"/>
  <c r="D35" i="1" s="1"/>
  <c r="G34" i="7"/>
  <c r="F34" i="7"/>
  <c r="E34" i="7"/>
  <c r="F38" i="2"/>
  <c r="E38" i="2"/>
  <c r="H33" i="7"/>
  <c r="E33" i="1" s="1"/>
  <c r="I33" i="1" s="1"/>
  <c r="B42" i="8"/>
  <c r="I41" i="8"/>
  <c r="J41" i="8" s="1"/>
  <c r="G41" i="8"/>
  <c r="H41" i="8" s="1"/>
  <c r="U38" i="1"/>
  <c r="V38" i="1" s="1"/>
  <c r="S38" i="1"/>
  <c r="T38" i="1" s="1"/>
  <c r="L38" i="1"/>
  <c r="J38" i="1"/>
  <c r="A39" i="1"/>
  <c r="F54" i="9" l="1"/>
  <c r="H36" i="9"/>
  <c r="H35" i="9"/>
  <c r="K35" i="9" s="1"/>
  <c r="F35" i="1" s="1"/>
  <c r="I36" i="9"/>
  <c r="J36" i="9"/>
  <c r="D37" i="9"/>
  <c r="E37" i="9" s="1"/>
  <c r="G37" i="9" s="1"/>
  <c r="C37" i="7"/>
  <c r="T35" i="4"/>
  <c r="Q35" i="4"/>
  <c r="G37" i="1" s="1"/>
  <c r="P37" i="4"/>
  <c r="U37" i="4" s="1"/>
  <c r="L37" i="4"/>
  <c r="O36" i="4"/>
  <c r="N37" i="4"/>
  <c r="S37" i="4" s="1"/>
  <c r="K38" i="4"/>
  <c r="S36" i="4"/>
  <c r="H34" i="7"/>
  <c r="E34" i="1" s="1"/>
  <c r="I34" i="1" s="1"/>
  <c r="K34" i="1" s="1"/>
  <c r="K33" i="1"/>
  <c r="W33" i="1"/>
  <c r="M33" i="1"/>
  <c r="C36" i="1"/>
  <c r="D36" i="1" s="1"/>
  <c r="D36" i="7"/>
  <c r="G35" i="7"/>
  <c r="E35" i="7"/>
  <c r="F35" i="7"/>
  <c r="F39" i="2"/>
  <c r="E39" i="2"/>
  <c r="B41" i="2"/>
  <c r="C40" i="2"/>
  <c r="B43" i="8"/>
  <c r="G42" i="8"/>
  <c r="H42" i="8" s="1"/>
  <c r="I42" i="8"/>
  <c r="J42" i="8" s="1"/>
  <c r="U39" i="1"/>
  <c r="V39" i="1" s="1"/>
  <c r="S39" i="1"/>
  <c r="T39" i="1" s="1"/>
  <c r="L39" i="1"/>
  <c r="J39" i="1"/>
  <c r="A40" i="1"/>
  <c r="F55" i="9" l="1"/>
  <c r="J37" i="9"/>
  <c r="I37" i="9"/>
  <c r="H37" i="9"/>
  <c r="K36" i="9"/>
  <c r="F36" i="1" s="1"/>
  <c r="D38" i="9"/>
  <c r="E38" i="9" s="1"/>
  <c r="G38" i="9" s="1"/>
  <c r="C38" i="7"/>
  <c r="T36" i="4"/>
  <c r="Q36" i="4"/>
  <c r="G38" i="1" s="1"/>
  <c r="P38" i="4"/>
  <c r="U38" i="4" s="1"/>
  <c r="M34" i="1"/>
  <c r="O37" i="4"/>
  <c r="L38" i="4"/>
  <c r="T37" i="4"/>
  <c r="K39" i="4"/>
  <c r="N38" i="4"/>
  <c r="W34" i="1"/>
  <c r="H35" i="7"/>
  <c r="E35" i="1" s="1"/>
  <c r="I35" i="1" s="1"/>
  <c r="M35" i="1" s="1"/>
  <c r="F40" i="2"/>
  <c r="E40" i="2"/>
  <c r="D37" i="7"/>
  <c r="C37" i="1"/>
  <c r="D37" i="1" s="1"/>
  <c r="G36" i="7"/>
  <c r="E36" i="7"/>
  <c r="F36" i="7"/>
  <c r="B42" i="2"/>
  <c r="C41" i="2"/>
  <c r="D41" i="2" s="1"/>
  <c r="D40" i="2"/>
  <c r="B44" i="8"/>
  <c r="I43" i="8"/>
  <c r="J43" i="8" s="1"/>
  <c r="G43" i="8"/>
  <c r="H43" i="8" s="1"/>
  <c r="U40" i="1"/>
  <c r="V40" i="1" s="1"/>
  <c r="S40" i="1"/>
  <c r="T40" i="1" s="1"/>
  <c r="L40" i="1"/>
  <c r="J40" i="1"/>
  <c r="A41" i="1"/>
  <c r="F56" i="9" l="1"/>
  <c r="J38" i="9"/>
  <c r="K37" i="9"/>
  <c r="F37" i="1" s="1"/>
  <c r="H38" i="9"/>
  <c r="G41" i="2"/>
  <c r="I38" i="9"/>
  <c r="Q37" i="4"/>
  <c r="G39" i="1" s="1"/>
  <c r="P39" i="4"/>
  <c r="U39" i="4" s="1"/>
  <c r="K35" i="1"/>
  <c r="K40" i="4"/>
  <c r="N39" i="4"/>
  <c r="S38" i="4"/>
  <c r="L39" i="4"/>
  <c r="O38" i="4"/>
  <c r="W35" i="1"/>
  <c r="G37" i="7"/>
  <c r="F37" i="7"/>
  <c r="E37" i="7"/>
  <c r="C38" i="1"/>
  <c r="D38" i="1" s="1"/>
  <c r="D38" i="7"/>
  <c r="H36" i="7"/>
  <c r="E36" i="1" s="1"/>
  <c r="I36" i="1" s="1"/>
  <c r="G40" i="2"/>
  <c r="D39" i="9" s="1"/>
  <c r="E39" i="9" s="1"/>
  <c r="G39" i="9" s="1"/>
  <c r="F41" i="2"/>
  <c r="E41" i="2"/>
  <c r="B43" i="2"/>
  <c r="C42" i="2"/>
  <c r="B45" i="8"/>
  <c r="G44" i="8"/>
  <c r="H44" i="8" s="1"/>
  <c r="I44" i="8"/>
  <c r="J44" i="8" s="1"/>
  <c r="U41" i="1"/>
  <c r="V41" i="1" s="1"/>
  <c r="S41" i="1"/>
  <c r="T41" i="1" s="1"/>
  <c r="L41" i="1"/>
  <c r="J41" i="1"/>
  <c r="A42" i="1"/>
  <c r="S39" i="4"/>
  <c r="F57" i="9" l="1"/>
  <c r="C39" i="7"/>
  <c r="J39" i="9"/>
  <c r="I39" i="9"/>
  <c r="H39" i="9"/>
  <c r="D40" i="9"/>
  <c r="E40" i="9" s="1"/>
  <c r="G40" i="9" s="1"/>
  <c r="C40" i="7"/>
  <c r="K38" i="9"/>
  <c r="F38" i="1" s="1"/>
  <c r="Q38" i="4"/>
  <c r="G40" i="1" s="1"/>
  <c r="P40" i="4"/>
  <c r="U40" i="4" s="1"/>
  <c r="H37" i="7"/>
  <c r="E37" i="1" s="1"/>
  <c r="I37" i="1" s="1"/>
  <c r="W37" i="1" s="1"/>
  <c r="N40" i="4"/>
  <c r="K41" i="4"/>
  <c r="T38" i="4"/>
  <c r="L40" i="4"/>
  <c r="O39" i="4"/>
  <c r="C39" i="1"/>
  <c r="D39" i="1" s="1"/>
  <c r="D39" i="7"/>
  <c r="F42" i="2"/>
  <c r="E42" i="2"/>
  <c r="G38" i="7"/>
  <c r="E38" i="7"/>
  <c r="F38" i="7"/>
  <c r="B44" i="2"/>
  <c r="C43" i="2"/>
  <c r="K36" i="1"/>
  <c r="W36" i="1"/>
  <c r="M36" i="1"/>
  <c r="D42" i="2"/>
  <c r="B46" i="8"/>
  <c r="I45" i="8"/>
  <c r="J45" i="8" s="1"/>
  <c r="G45" i="8"/>
  <c r="H45" i="8" s="1"/>
  <c r="U42" i="1"/>
  <c r="V42" i="1" s="1"/>
  <c r="S42" i="1"/>
  <c r="T42" i="1" s="1"/>
  <c r="L42" i="1"/>
  <c r="J42" i="1"/>
  <c r="A43" i="1"/>
  <c r="F58" i="9" l="1"/>
  <c r="J40" i="9"/>
  <c r="I40" i="9"/>
  <c r="K39" i="9"/>
  <c r="F39" i="1" s="1"/>
  <c r="H40" i="9"/>
  <c r="P41" i="4"/>
  <c r="U41" i="4" s="1"/>
  <c r="T39" i="4"/>
  <c r="Q39" i="4"/>
  <c r="G41" i="1" s="1"/>
  <c r="K37" i="1"/>
  <c r="M37" i="1"/>
  <c r="S40" i="4"/>
  <c r="O40" i="4"/>
  <c r="L41" i="4"/>
  <c r="N41" i="4"/>
  <c r="S41" i="4" s="1"/>
  <c r="K42" i="4"/>
  <c r="F43" i="2"/>
  <c r="E43" i="2"/>
  <c r="B45" i="2"/>
  <c r="C44" i="2"/>
  <c r="D44" i="2" s="1"/>
  <c r="C40" i="1"/>
  <c r="D40" i="1" s="1"/>
  <c r="D40" i="7"/>
  <c r="G42" i="2"/>
  <c r="D41" i="9" s="1"/>
  <c r="E41" i="9" s="1"/>
  <c r="G41" i="9" s="1"/>
  <c r="E39" i="7"/>
  <c r="F39" i="7"/>
  <c r="G39" i="7"/>
  <c r="D43" i="2"/>
  <c r="H38" i="7"/>
  <c r="E38" i="1" s="1"/>
  <c r="I38" i="1" s="1"/>
  <c r="B47" i="8"/>
  <c r="G46" i="8"/>
  <c r="H46" i="8" s="1"/>
  <c r="I46" i="8"/>
  <c r="J46" i="8" s="1"/>
  <c r="U43" i="1"/>
  <c r="V43" i="1" s="1"/>
  <c r="S43" i="1"/>
  <c r="T43" i="1" s="1"/>
  <c r="L43" i="1"/>
  <c r="J43" i="1"/>
  <c r="A44" i="1"/>
  <c r="F59" i="9" l="1"/>
  <c r="I41" i="9"/>
  <c r="K40" i="9"/>
  <c r="F40" i="1" s="1"/>
  <c r="C41" i="7"/>
  <c r="D41" i="7" s="1"/>
  <c r="J41" i="9"/>
  <c r="H41" i="9"/>
  <c r="P42" i="4"/>
  <c r="U42" i="4" s="1"/>
  <c r="Q40" i="4"/>
  <c r="G42" i="1" s="1"/>
  <c r="T40" i="4"/>
  <c r="O41" i="4"/>
  <c r="Q41" i="4" s="1"/>
  <c r="G43" i="1" s="1"/>
  <c r="L42" i="4"/>
  <c r="K43" i="4"/>
  <c r="N42" i="4"/>
  <c r="G44" i="2"/>
  <c r="G43" i="2"/>
  <c r="D42" i="9" s="1"/>
  <c r="E42" i="9" s="1"/>
  <c r="G42" i="9" s="1"/>
  <c r="C41" i="1"/>
  <c r="D41" i="1" s="1"/>
  <c r="G40" i="7"/>
  <c r="E40" i="7"/>
  <c r="F40" i="7"/>
  <c r="B46" i="2"/>
  <c r="C45" i="2"/>
  <c r="D45" i="2" s="1"/>
  <c r="H39" i="7"/>
  <c r="E39" i="1" s="1"/>
  <c r="I39" i="1" s="1"/>
  <c r="K38" i="1"/>
  <c r="M38" i="1"/>
  <c r="W38" i="1"/>
  <c r="F44" i="2"/>
  <c r="E44" i="2"/>
  <c r="B48" i="8"/>
  <c r="I47" i="8"/>
  <c r="J47" i="8" s="1"/>
  <c r="G47" i="8"/>
  <c r="H47" i="8" s="1"/>
  <c r="U44" i="1"/>
  <c r="V44" i="1" s="1"/>
  <c r="S44" i="1"/>
  <c r="T44" i="1" s="1"/>
  <c r="L44" i="1"/>
  <c r="J44" i="1"/>
  <c r="A45" i="1"/>
  <c r="T41" i="4" l="1"/>
  <c r="F60" i="9"/>
  <c r="J42" i="9"/>
  <c r="K41" i="9"/>
  <c r="F41" i="1" s="1"/>
  <c r="C42" i="7"/>
  <c r="C42" i="1" s="1"/>
  <c r="D42" i="1" s="1"/>
  <c r="D43" i="9"/>
  <c r="E43" i="9" s="1"/>
  <c r="G43" i="9" s="1"/>
  <c r="C43" i="7"/>
  <c r="H42" i="9"/>
  <c r="I42" i="9"/>
  <c r="P43" i="4"/>
  <c r="U43" i="4" s="1"/>
  <c r="N43" i="4"/>
  <c r="S43" i="4" s="1"/>
  <c r="K44" i="4"/>
  <c r="S42" i="4"/>
  <c r="L43" i="4"/>
  <c r="O42" i="4"/>
  <c r="H40" i="7"/>
  <c r="E40" i="1" s="1"/>
  <c r="I40" i="1" s="1"/>
  <c r="K40" i="1" s="1"/>
  <c r="G45" i="2"/>
  <c r="M39" i="1"/>
  <c r="W39" i="1"/>
  <c r="K39" i="1"/>
  <c r="F41" i="7"/>
  <c r="G41" i="7"/>
  <c r="E41" i="7"/>
  <c r="F45" i="2"/>
  <c r="E45" i="2"/>
  <c r="B47" i="2"/>
  <c r="C46" i="2"/>
  <c r="D46" i="2" s="1"/>
  <c r="B49" i="8"/>
  <c r="G48" i="8"/>
  <c r="H48" i="8" s="1"/>
  <c r="I48" i="8"/>
  <c r="J48" i="8" s="1"/>
  <c r="U45" i="1"/>
  <c r="V45" i="1" s="1"/>
  <c r="S45" i="1"/>
  <c r="T45" i="1" s="1"/>
  <c r="L45" i="1"/>
  <c r="J45" i="1"/>
  <c r="A46" i="1"/>
  <c r="D42" i="7" l="1"/>
  <c r="F61" i="9"/>
  <c r="J43" i="9"/>
  <c r="K42" i="9"/>
  <c r="F42" i="1" s="1"/>
  <c r="H43" i="9"/>
  <c r="D44" i="9"/>
  <c r="E44" i="9" s="1"/>
  <c r="G44" i="9" s="1"/>
  <c r="C44" i="7"/>
  <c r="I43" i="9"/>
  <c r="P44" i="4"/>
  <c r="U44" i="4" s="1"/>
  <c r="Q42" i="4"/>
  <c r="G44" i="1" s="1"/>
  <c r="H41" i="7"/>
  <c r="E41" i="1" s="1"/>
  <c r="I41" i="1" s="1"/>
  <c r="M41" i="1" s="1"/>
  <c r="M40" i="1"/>
  <c r="T42" i="4"/>
  <c r="O43" i="4"/>
  <c r="L44" i="4"/>
  <c r="K45" i="4"/>
  <c r="N44" i="4"/>
  <c r="W40" i="1"/>
  <c r="G46" i="2"/>
  <c r="B48" i="2"/>
  <c r="C47" i="2"/>
  <c r="D47" i="2" s="1"/>
  <c r="G47" i="2" s="1"/>
  <c r="F46" i="2"/>
  <c r="E46" i="2"/>
  <c r="G42" i="7"/>
  <c r="F42" i="7"/>
  <c r="E42" i="7"/>
  <c r="C43" i="1"/>
  <c r="D43" i="1" s="1"/>
  <c r="D43" i="7"/>
  <c r="B50" i="8"/>
  <c r="I49" i="8"/>
  <c r="J49" i="8" s="1"/>
  <c r="G49" i="8"/>
  <c r="H49" i="8" s="1"/>
  <c r="U46" i="1"/>
  <c r="V46" i="1" s="1"/>
  <c r="S46" i="1"/>
  <c r="T46" i="1" s="1"/>
  <c r="L46" i="1"/>
  <c r="J46" i="1"/>
  <c r="A47" i="1"/>
  <c r="J44" i="9" l="1"/>
  <c r="K43" i="9"/>
  <c r="F43" i="1" s="1"/>
  <c r="I44" i="9"/>
  <c r="D45" i="9"/>
  <c r="E45" i="9" s="1"/>
  <c r="G45" i="9" s="1"/>
  <c r="C45" i="7"/>
  <c r="H44" i="9"/>
  <c r="P45" i="4"/>
  <c r="U45" i="4" s="1"/>
  <c r="T43" i="4"/>
  <c r="Q43" i="4"/>
  <c r="G45" i="1" s="1"/>
  <c r="K41" i="1"/>
  <c r="W41" i="1"/>
  <c r="S44" i="4"/>
  <c r="L45" i="4"/>
  <c r="O44" i="4"/>
  <c r="N45" i="4"/>
  <c r="S45" i="4" s="1"/>
  <c r="K46" i="4"/>
  <c r="H42" i="7"/>
  <c r="E42" i="1" s="1"/>
  <c r="I42" i="1" s="1"/>
  <c r="M42" i="1" s="1"/>
  <c r="G43" i="7"/>
  <c r="E43" i="7"/>
  <c r="F43" i="7"/>
  <c r="F47" i="2"/>
  <c r="E47" i="2"/>
  <c r="B49" i="2"/>
  <c r="C48" i="2"/>
  <c r="D48" i="2" s="1"/>
  <c r="D44" i="7"/>
  <c r="C44" i="1"/>
  <c r="D44" i="1" s="1"/>
  <c r="B51" i="8"/>
  <c r="G50" i="8"/>
  <c r="H50" i="8" s="1"/>
  <c r="I50" i="8"/>
  <c r="J50" i="8" s="1"/>
  <c r="U47" i="1"/>
  <c r="V47" i="1" s="1"/>
  <c r="S47" i="1"/>
  <c r="T47" i="1" s="1"/>
  <c r="L47" i="1"/>
  <c r="J47" i="1"/>
  <c r="A48" i="1"/>
  <c r="K44" i="9" l="1"/>
  <c r="F44" i="1" s="1"/>
  <c r="I45" i="9"/>
  <c r="H45" i="9"/>
  <c r="D46" i="9"/>
  <c r="E46" i="9" s="1"/>
  <c r="G46" i="9" s="1"/>
  <c r="C46" i="7"/>
  <c r="T44" i="4"/>
  <c r="Q44" i="4"/>
  <c r="G46" i="1" s="1"/>
  <c r="K42" i="1"/>
  <c r="N46" i="4"/>
  <c r="K47" i="4"/>
  <c r="O45" i="4"/>
  <c r="L46" i="4"/>
  <c r="W42" i="1"/>
  <c r="P46" i="4"/>
  <c r="U46" i="4" s="1"/>
  <c r="H43" i="7"/>
  <c r="E43" i="1" s="1"/>
  <c r="I43" i="1" s="1"/>
  <c r="K43" i="1" s="1"/>
  <c r="G44" i="7"/>
  <c r="E44" i="7"/>
  <c r="F44" i="7"/>
  <c r="F48" i="2"/>
  <c r="E48" i="2"/>
  <c r="G48" i="2"/>
  <c r="B50" i="2"/>
  <c r="C49" i="2"/>
  <c r="D49" i="2" s="1"/>
  <c r="D45" i="7"/>
  <c r="C45" i="1"/>
  <c r="D45" i="1" s="1"/>
  <c r="B52" i="8"/>
  <c r="I51" i="8"/>
  <c r="J51" i="8" s="1"/>
  <c r="G51" i="8"/>
  <c r="H51" i="8" s="1"/>
  <c r="U48" i="1"/>
  <c r="V48" i="1" s="1"/>
  <c r="S48" i="1"/>
  <c r="L48" i="1"/>
  <c r="J48" i="1"/>
  <c r="A49" i="1"/>
  <c r="T48" i="1"/>
  <c r="J45" i="9" l="1"/>
  <c r="K45" i="9" s="1"/>
  <c r="F45" i="1" s="1"/>
  <c r="H46" i="9"/>
  <c r="I46" i="9"/>
  <c r="D47" i="9"/>
  <c r="E47" i="9" s="1"/>
  <c r="G47" i="9" s="1"/>
  <c r="C47" i="7"/>
  <c r="G49" i="2"/>
  <c r="T45" i="4"/>
  <c r="Q45" i="4"/>
  <c r="G47" i="1" s="1"/>
  <c r="P47" i="4"/>
  <c r="U47" i="4" s="1"/>
  <c r="M43" i="1"/>
  <c r="S46" i="4"/>
  <c r="O46" i="4"/>
  <c r="L47" i="4"/>
  <c r="K48" i="4"/>
  <c r="N47" i="4"/>
  <c r="W43" i="1"/>
  <c r="H44" i="7"/>
  <c r="E44" i="1" s="1"/>
  <c r="I44" i="1" s="1"/>
  <c r="W44" i="1" s="1"/>
  <c r="F49" i="2"/>
  <c r="E49" i="2"/>
  <c r="B51" i="2"/>
  <c r="C50" i="2"/>
  <c r="D50" i="2" s="1"/>
  <c r="G45" i="7"/>
  <c r="F45" i="7"/>
  <c r="E45" i="7"/>
  <c r="C46" i="1"/>
  <c r="D46" i="1" s="1"/>
  <c r="D46" i="7"/>
  <c r="B53" i="8"/>
  <c r="G52" i="8"/>
  <c r="H52" i="8" s="1"/>
  <c r="I52" i="8"/>
  <c r="J52" i="8" s="1"/>
  <c r="U49" i="1"/>
  <c r="V49" i="1" s="1"/>
  <c r="S49" i="1"/>
  <c r="T49" i="1" s="1"/>
  <c r="L49" i="1"/>
  <c r="J49" i="1"/>
  <c r="A50" i="1"/>
  <c r="S47" i="4"/>
  <c r="J47" i="9" l="1"/>
  <c r="J46" i="9"/>
  <c r="K46" i="9" s="1"/>
  <c r="F46" i="1" s="1"/>
  <c r="I47" i="9"/>
  <c r="H47" i="9"/>
  <c r="D48" i="9"/>
  <c r="E48" i="9" s="1"/>
  <c r="G48" i="9" s="1"/>
  <c r="C48" i="7"/>
  <c r="Q46" i="4"/>
  <c r="G48" i="1" s="1"/>
  <c r="M44" i="1"/>
  <c r="K44" i="1"/>
  <c r="T46" i="4"/>
  <c r="N48" i="4"/>
  <c r="K49" i="4"/>
  <c r="O47" i="4"/>
  <c r="L48" i="4"/>
  <c r="P48" i="4"/>
  <c r="U48" i="4" s="1"/>
  <c r="G50" i="2"/>
  <c r="G46" i="7"/>
  <c r="E46" i="7"/>
  <c r="F46" i="7"/>
  <c r="B52" i="2"/>
  <c r="C51" i="2"/>
  <c r="D51" i="2" s="1"/>
  <c r="H45" i="7"/>
  <c r="E45" i="1" s="1"/>
  <c r="I45" i="1" s="1"/>
  <c r="C47" i="1"/>
  <c r="D47" i="1" s="1"/>
  <c r="D47" i="7"/>
  <c r="F50" i="2"/>
  <c r="E50" i="2"/>
  <c r="B54" i="8"/>
  <c r="I53" i="8"/>
  <c r="J53" i="8" s="1"/>
  <c r="G53" i="8"/>
  <c r="H53" i="8" s="1"/>
  <c r="U50" i="1"/>
  <c r="V50" i="1" s="1"/>
  <c r="S50" i="1"/>
  <c r="T50" i="1" s="1"/>
  <c r="L50" i="1"/>
  <c r="J50" i="1"/>
  <c r="A51" i="1"/>
  <c r="J48" i="9" l="1"/>
  <c r="K47" i="9"/>
  <c r="F47" i="1" s="1"/>
  <c r="I48" i="9"/>
  <c r="D49" i="9"/>
  <c r="E49" i="9" s="1"/>
  <c r="G49" i="9" s="1"/>
  <c r="C49" i="7"/>
  <c r="T47" i="4"/>
  <c r="Q47" i="4"/>
  <c r="G49" i="1" s="1"/>
  <c r="P49" i="4"/>
  <c r="U49" i="4" s="1"/>
  <c r="S48" i="4"/>
  <c r="O48" i="4"/>
  <c r="L49" i="4"/>
  <c r="N49" i="4"/>
  <c r="K50" i="4"/>
  <c r="H46" i="7"/>
  <c r="E46" i="1" s="1"/>
  <c r="I46" i="1" s="1"/>
  <c r="M46" i="1" s="1"/>
  <c r="G51" i="2"/>
  <c r="C48" i="1"/>
  <c r="D48" i="1" s="1"/>
  <c r="D48" i="7"/>
  <c r="G47" i="7"/>
  <c r="F47" i="7"/>
  <c r="E47" i="7"/>
  <c r="K45" i="1"/>
  <c r="M45" i="1"/>
  <c r="W45" i="1"/>
  <c r="F51" i="2"/>
  <c r="E51" i="2"/>
  <c r="B53" i="2"/>
  <c r="C52" i="2"/>
  <c r="D52" i="2" s="1"/>
  <c r="B55" i="8"/>
  <c r="G54" i="8"/>
  <c r="H54" i="8" s="1"/>
  <c r="I54" i="8"/>
  <c r="J54" i="8" s="1"/>
  <c r="U51" i="1"/>
  <c r="V51" i="1" s="1"/>
  <c r="S51" i="1"/>
  <c r="T51" i="1" s="1"/>
  <c r="L51" i="1"/>
  <c r="J51" i="1"/>
  <c r="A52" i="1"/>
  <c r="J49" i="9" l="1"/>
  <c r="H48" i="9"/>
  <c r="K48" i="9" s="1"/>
  <c r="F48" i="1" s="1"/>
  <c r="G52" i="2"/>
  <c r="H49" i="9"/>
  <c r="D50" i="9"/>
  <c r="E50" i="9" s="1"/>
  <c r="G50" i="9" s="1"/>
  <c r="C50" i="7"/>
  <c r="I49" i="9"/>
  <c r="Q48" i="4"/>
  <c r="G50" i="1" s="1"/>
  <c r="P50" i="4"/>
  <c r="U50" i="4" s="1"/>
  <c r="T48" i="4"/>
  <c r="K46" i="1"/>
  <c r="O49" i="4"/>
  <c r="L50" i="4"/>
  <c r="K51" i="4"/>
  <c r="N50" i="4"/>
  <c r="S49" i="4"/>
  <c r="W46" i="1"/>
  <c r="F52" i="2"/>
  <c r="E52" i="2"/>
  <c r="D49" i="7"/>
  <c r="C49" i="1"/>
  <c r="D49" i="1" s="1"/>
  <c r="H47" i="7"/>
  <c r="E47" i="1" s="1"/>
  <c r="I47" i="1" s="1"/>
  <c r="B54" i="2"/>
  <c r="C53" i="2"/>
  <c r="G48" i="7"/>
  <c r="F48" i="7"/>
  <c r="E48" i="7"/>
  <c r="B56" i="8"/>
  <c r="I55" i="8"/>
  <c r="J55" i="8" s="1"/>
  <c r="G55" i="8"/>
  <c r="H55" i="8" s="1"/>
  <c r="U52" i="1"/>
  <c r="V52" i="1" s="1"/>
  <c r="S52" i="1"/>
  <c r="L52" i="1"/>
  <c r="J52" i="1"/>
  <c r="A53" i="1"/>
  <c r="T52" i="1"/>
  <c r="J50" i="9" l="1"/>
  <c r="I50" i="9"/>
  <c r="K49" i="9"/>
  <c r="F49" i="1" s="1"/>
  <c r="D51" i="9"/>
  <c r="E51" i="9" s="1"/>
  <c r="G51" i="9" s="1"/>
  <c r="C51" i="7"/>
  <c r="H50" i="9"/>
  <c r="P51" i="4"/>
  <c r="U51" i="4" s="1"/>
  <c r="T49" i="4"/>
  <c r="Q49" i="4"/>
  <c r="G51" i="1" s="1"/>
  <c r="S50" i="4"/>
  <c r="N51" i="4"/>
  <c r="S51" i="4" s="1"/>
  <c r="K52" i="4"/>
  <c r="L51" i="4"/>
  <c r="O50" i="4"/>
  <c r="H48" i="7"/>
  <c r="E48" i="1" s="1"/>
  <c r="I48" i="1" s="1"/>
  <c r="M48" i="1" s="1"/>
  <c r="F53" i="2"/>
  <c r="E53" i="2"/>
  <c r="B55" i="2"/>
  <c r="C54" i="2"/>
  <c r="D54" i="2" s="1"/>
  <c r="G49" i="7"/>
  <c r="E49" i="7"/>
  <c r="F49" i="7"/>
  <c r="C50" i="1"/>
  <c r="D50" i="1" s="1"/>
  <c r="D50" i="7"/>
  <c r="W47" i="1"/>
  <c r="K47" i="1"/>
  <c r="M47" i="1"/>
  <c r="D53" i="2"/>
  <c r="B57" i="8"/>
  <c r="G56" i="8"/>
  <c r="H56" i="8" s="1"/>
  <c r="I56" i="8"/>
  <c r="J56" i="8" s="1"/>
  <c r="U53" i="1"/>
  <c r="V53" i="1" s="1"/>
  <c r="S53" i="1"/>
  <c r="T53" i="1" s="1"/>
  <c r="L53" i="1"/>
  <c r="J53" i="1"/>
  <c r="A54" i="1"/>
  <c r="J51" i="9" l="1"/>
  <c r="H51" i="9"/>
  <c r="K50" i="9"/>
  <c r="F50" i="1" s="1"/>
  <c r="P52" i="4"/>
  <c r="U52" i="4" s="1"/>
  <c r="Q50" i="4"/>
  <c r="G52" i="1" s="1"/>
  <c r="K48" i="1"/>
  <c r="O51" i="4"/>
  <c r="L52" i="4"/>
  <c r="N52" i="4"/>
  <c r="K53" i="4"/>
  <c r="W48" i="1"/>
  <c r="T50" i="4"/>
  <c r="G54" i="2"/>
  <c r="C51" i="1"/>
  <c r="D51" i="1" s="1"/>
  <c r="D51" i="7"/>
  <c r="B56" i="2"/>
  <c r="C55" i="2"/>
  <c r="D55" i="2" s="1"/>
  <c r="H49" i="7"/>
  <c r="E49" i="1" s="1"/>
  <c r="I49" i="1" s="1"/>
  <c r="G53" i="2"/>
  <c r="C52" i="7" s="1"/>
  <c r="G50" i="7"/>
  <c r="E50" i="7"/>
  <c r="F50" i="7"/>
  <c r="F54" i="2"/>
  <c r="E54" i="2"/>
  <c r="B58" i="8"/>
  <c r="I57" i="8"/>
  <c r="J57" i="8" s="1"/>
  <c r="G57" i="8"/>
  <c r="H57" i="8" s="1"/>
  <c r="U54" i="1"/>
  <c r="V54" i="1" s="1"/>
  <c r="S54" i="1"/>
  <c r="T54" i="1" s="1"/>
  <c r="L54" i="1"/>
  <c r="J54" i="1"/>
  <c r="A55" i="1"/>
  <c r="I51" i="9" l="1"/>
  <c r="K51" i="9" s="1"/>
  <c r="F51" i="1" s="1"/>
  <c r="D52" i="9"/>
  <c r="E52" i="9" s="1"/>
  <c r="G52" i="9" s="1"/>
  <c r="G55" i="2"/>
  <c r="D53" i="9"/>
  <c r="E53" i="9" s="1"/>
  <c r="G53" i="9" s="1"/>
  <c r="C53" i="7"/>
  <c r="P53" i="4"/>
  <c r="U53" i="4" s="1"/>
  <c r="Q51" i="4"/>
  <c r="G53" i="1" s="1"/>
  <c r="T51" i="4"/>
  <c r="S52" i="4"/>
  <c r="N53" i="4"/>
  <c r="K54" i="4"/>
  <c r="O52" i="4"/>
  <c r="L53" i="4"/>
  <c r="H50" i="7"/>
  <c r="E50" i="1" s="1"/>
  <c r="I50" i="1" s="1"/>
  <c r="M50" i="1" s="1"/>
  <c r="C52" i="1"/>
  <c r="D52" i="1" s="1"/>
  <c r="D52" i="7"/>
  <c r="K49" i="1"/>
  <c r="W49" i="1"/>
  <c r="M49" i="1"/>
  <c r="F55" i="2"/>
  <c r="E55" i="2"/>
  <c r="B57" i="2"/>
  <c r="C56" i="2"/>
  <c r="D56" i="2" s="1"/>
  <c r="G51" i="7"/>
  <c r="F51" i="7"/>
  <c r="E51" i="7"/>
  <c r="B59" i="8"/>
  <c r="G58" i="8"/>
  <c r="H58" i="8" s="1"/>
  <c r="I58" i="8"/>
  <c r="J58" i="8" s="1"/>
  <c r="U55" i="1"/>
  <c r="V55" i="1" s="1"/>
  <c r="S55" i="1"/>
  <c r="L55" i="1"/>
  <c r="J55" i="1"/>
  <c r="A56" i="1"/>
  <c r="T55" i="1"/>
  <c r="S53" i="4"/>
  <c r="J53" i="9" l="1"/>
  <c r="H53" i="9"/>
  <c r="D54" i="9"/>
  <c r="E54" i="9" s="1"/>
  <c r="G54" i="9" s="1"/>
  <c r="C54" i="7"/>
  <c r="J52" i="9"/>
  <c r="I52" i="9"/>
  <c r="H52" i="9"/>
  <c r="I53" i="9"/>
  <c r="T52" i="4"/>
  <c r="Q52" i="4"/>
  <c r="G54" i="1" s="1"/>
  <c r="K50" i="1"/>
  <c r="O53" i="4"/>
  <c r="Q53" i="4" s="1"/>
  <c r="G55" i="1" s="1"/>
  <c r="L54" i="4"/>
  <c r="N54" i="4"/>
  <c r="S54" i="4" s="1"/>
  <c r="K55" i="4"/>
  <c r="W50" i="1"/>
  <c r="P54" i="4"/>
  <c r="U54" i="4" s="1"/>
  <c r="F56" i="2"/>
  <c r="E56" i="2"/>
  <c r="D53" i="7"/>
  <c r="C53" i="1"/>
  <c r="D53" i="1" s="1"/>
  <c r="H51" i="7"/>
  <c r="E51" i="1" s="1"/>
  <c r="I51" i="1" s="1"/>
  <c r="G56" i="2"/>
  <c r="B58" i="2"/>
  <c r="C57" i="2"/>
  <c r="D57" i="2" s="1"/>
  <c r="F52" i="7"/>
  <c r="G52" i="7"/>
  <c r="E52" i="7"/>
  <c r="I59" i="8"/>
  <c r="G59" i="8"/>
  <c r="A57" i="1"/>
  <c r="U56" i="1"/>
  <c r="V56" i="1" s="1"/>
  <c r="S56" i="1"/>
  <c r="T56" i="1" s="1"/>
  <c r="L56" i="1"/>
  <c r="J56" i="1"/>
  <c r="K53" i="9" l="1"/>
  <c r="F53" i="1" s="1"/>
  <c r="K52" i="9"/>
  <c r="F52" i="1" s="1"/>
  <c r="D55" i="9"/>
  <c r="E55" i="9" s="1"/>
  <c r="G55" i="9" s="1"/>
  <c r="C55" i="7"/>
  <c r="G57" i="2"/>
  <c r="T53" i="4"/>
  <c r="P55" i="4"/>
  <c r="U55" i="4" s="1"/>
  <c r="H52" i="7"/>
  <c r="E52" i="1" s="1"/>
  <c r="H60" i="8"/>
  <c r="H59" i="8"/>
  <c r="J60" i="8"/>
  <c r="J59" i="8"/>
  <c r="N55" i="4"/>
  <c r="K56" i="4"/>
  <c r="O54" i="4"/>
  <c r="L55" i="4"/>
  <c r="F57" i="2"/>
  <c r="E57" i="2"/>
  <c r="B59" i="2"/>
  <c r="C58" i="2"/>
  <c r="D58" i="2" s="1"/>
  <c r="G53" i="7"/>
  <c r="E53" i="7"/>
  <c r="F53" i="7"/>
  <c r="C54" i="1"/>
  <c r="D54" i="1" s="1"/>
  <c r="D54" i="7"/>
  <c r="K51" i="1"/>
  <c r="M51" i="1"/>
  <c r="W51" i="1"/>
  <c r="A58" i="1"/>
  <c r="U57" i="1"/>
  <c r="V57" i="1" s="1"/>
  <c r="S57" i="1"/>
  <c r="T57" i="1" s="1"/>
  <c r="L57" i="1"/>
  <c r="J57" i="1"/>
  <c r="I52" i="1" l="1"/>
  <c r="M52" i="1" s="1"/>
  <c r="H54" i="9"/>
  <c r="I54" i="9"/>
  <c r="H55" i="9"/>
  <c r="J54" i="9"/>
  <c r="D56" i="9"/>
  <c r="E56" i="9" s="1"/>
  <c r="G56" i="9" s="1"/>
  <c r="C56" i="7"/>
  <c r="Q54" i="4"/>
  <c r="G56" i="1" s="1"/>
  <c r="P56" i="4"/>
  <c r="U56" i="4" s="1"/>
  <c r="K52" i="1"/>
  <c r="W52" i="1"/>
  <c r="T54" i="4"/>
  <c r="L56" i="4"/>
  <c r="O55" i="4"/>
  <c r="S55" i="4"/>
  <c r="K57" i="4"/>
  <c r="N56" i="4"/>
  <c r="G58" i="2"/>
  <c r="C59" i="2"/>
  <c r="D59" i="2" s="1"/>
  <c r="B60" i="2"/>
  <c r="H53" i="7"/>
  <c r="E53" i="1" s="1"/>
  <c r="I53" i="1" s="1"/>
  <c r="C55" i="1"/>
  <c r="D55" i="1" s="1"/>
  <c r="D55" i="7"/>
  <c r="G54" i="7"/>
  <c r="E54" i="7"/>
  <c r="F54" i="7"/>
  <c r="F58" i="2"/>
  <c r="E58" i="2"/>
  <c r="U58" i="1"/>
  <c r="V58" i="1" s="1"/>
  <c r="A59" i="1"/>
  <c r="L58" i="1"/>
  <c r="J58" i="1"/>
  <c r="S58" i="1"/>
  <c r="T58" i="1" s="1"/>
  <c r="J55" i="9" l="1"/>
  <c r="I55" i="9"/>
  <c r="J56" i="9"/>
  <c r="K54" i="9"/>
  <c r="F54" i="1" s="1"/>
  <c r="D57" i="9"/>
  <c r="E57" i="9" s="1"/>
  <c r="G57" i="9" s="1"/>
  <c r="C57" i="7"/>
  <c r="T55" i="4"/>
  <c r="Q55" i="4"/>
  <c r="G57" i="1" s="1"/>
  <c r="S56" i="4"/>
  <c r="K58" i="4"/>
  <c r="N57" i="4"/>
  <c r="L57" i="4"/>
  <c r="O56" i="4"/>
  <c r="C56" i="1"/>
  <c r="D56" i="1" s="1"/>
  <c r="D56" i="7"/>
  <c r="G55" i="7"/>
  <c r="F55" i="7"/>
  <c r="E55" i="7"/>
  <c r="G59" i="2"/>
  <c r="F59" i="2"/>
  <c r="E59" i="2"/>
  <c r="H54" i="7"/>
  <c r="E54" i="1" s="1"/>
  <c r="K53" i="1"/>
  <c r="W53" i="1"/>
  <c r="M53" i="1"/>
  <c r="B61" i="2"/>
  <c r="C60" i="2"/>
  <c r="U59" i="1"/>
  <c r="V59" i="1" s="1"/>
  <c r="A60" i="1"/>
  <c r="J59" i="1"/>
  <c r="S59" i="1"/>
  <c r="T59" i="1" s="1"/>
  <c r="L59" i="1"/>
  <c r="I54" i="1" l="1"/>
  <c r="K55" i="9"/>
  <c r="F55" i="1" s="1"/>
  <c r="H56" i="9"/>
  <c r="I56" i="9"/>
  <c r="H57" i="9"/>
  <c r="D58" i="9"/>
  <c r="E58" i="9" s="1"/>
  <c r="G58" i="9" s="1"/>
  <c r="C58" i="7"/>
  <c r="Q56" i="4"/>
  <c r="G58" i="1" s="1"/>
  <c r="P57" i="4"/>
  <c r="U57" i="4" s="1"/>
  <c r="H55" i="7"/>
  <c r="E55" i="1" s="1"/>
  <c r="T56" i="4"/>
  <c r="S57" i="4"/>
  <c r="L58" i="4"/>
  <c r="O57" i="4"/>
  <c r="N58" i="4"/>
  <c r="K59" i="4"/>
  <c r="E60" i="2"/>
  <c r="F60" i="2"/>
  <c r="C57" i="1"/>
  <c r="D57" i="1" s="1"/>
  <c r="D57" i="7"/>
  <c r="B62" i="2"/>
  <c r="C62" i="2" s="1"/>
  <c r="C61" i="2"/>
  <c r="M54" i="1"/>
  <c r="K54" i="1"/>
  <c r="W54" i="1"/>
  <c r="G56" i="7"/>
  <c r="E56" i="7"/>
  <c r="F56" i="7"/>
  <c r="D60" i="2"/>
  <c r="U60" i="1"/>
  <c r="V60" i="1" s="1"/>
  <c r="A61" i="1"/>
  <c r="L60" i="1"/>
  <c r="J60" i="1"/>
  <c r="S60" i="1"/>
  <c r="T60" i="1" s="1"/>
  <c r="I55" i="1" l="1"/>
  <c r="K55" i="1" s="1"/>
  <c r="I57" i="9"/>
  <c r="J57" i="9"/>
  <c r="J58" i="9"/>
  <c r="K56" i="9"/>
  <c r="F56" i="1" s="1"/>
  <c r="P58" i="4"/>
  <c r="U58" i="4" s="1"/>
  <c r="P59" i="4"/>
  <c r="U59" i="4" s="1"/>
  <c r="T57" i="4"/>
  <c r="Q57" i="4"/>
  <c r="M55" i="1"/>
  <c r="N59" i="4"/>
  <c r="S59" i="4" s="1"/>
  <c r="S58" i="4"/>
  <c r="O58" i="4"/>
  <c r="L59" i="4"/>
  <c r="D61" i="2"/>
  <c r="E61" i="2"/>
  <c r="F61" i="2"/>
  <c r="G57" i="7"/>
  <c r="E57" i="7"/>
  <c r="F57" i="7"/>
  <c r="D58" i="7"/>
  <c r="C58" i="1"/>
  <c r="D58" i="1" s="1"/>
  <c r="G60" i="2"/>
  <c r="D59" i="9" s="1"/>
  <c r="E59" i="9" s="1"/>
  <c r="G59" i="9" s="1"/>
  <c r="D62" i="2"/>
  <c r="E62" i="2"/>
  <c r="F62" i="2"/>
  <c r="H56" i="7"/>
  <c r="E56" i="1" s="1"/>
  <c r="U61" i="1"/>
  <c r="V61" i="1" s="1"/>
  <c r="V62" i="1" s="1"/>
  <c r="J61" i="1"/>
  <c r="S61" i="1"/>
  <c r="T61" i="1" s="1"/>
  <c r="T62" i="1" s="1"/>
  <c r="L61" i="1"/>
  <c r="I56" i="1" l="1"/>
  <c r="K56" i="1" s="1"/>
  <c r="W55" i="1"/>
  <c r="K57" i="9"/>
  <c r="F57" i="1" s="1"/>
  <c r="I58" i="9"/>
  <c r="H58" i="9"/>
  <c r="J59" i="9"/>
  <c r="H59" i="9"/>
  <c r="I59" i="9"/>
  <c r="C59" i="7"/>
  <c r="C59" i="1" s="1"/>
  <c r="D59" i="1" s="1"/>
  <c r="T58" i="4"/>
  <c r="Q58" i="4"/>
  <c r="G60" i="1" s="1"/>
  <c r="O59" i="4"/>
  <c r="G59" i="1"/>
  <c r="H57" i="7"/>
  <c r="E57" i="1" s="1"/>
  <c r="W56" i="1"/>
  <c r="G62" i="2"/>
  <c r="C61" i="7" s="1"/>
  <c r="G58" i="7"/>
  <c r="E58" i="7"/>
  <c r="F58" i="7"/>
  <c r="G61" i="2"/>
  <c r="C60" i="7" s="1"/>
  <c r="D59" i="7" l="1"/>
  <c r="K58" i="9"/>
  <c r="F58" i="1" s="1"/>
  <c r="M56" i="1"/>
  <c r="I57" i="1"/>
  <c r="K57" i="1" s="1"/>
  <c r="K59" i="9"/>
  <c r="F59" i="1" s="1"/>
  <c r="D60" i="9"/>
  <c r="E60" i="9" s="1"/>
  <c r="G60" i="9" s="1"/>
  <c r="D61" i="9"/>
  <c r="E61" i="9" s="1"/>
  <c r="G61" i="9" s="1"/>
  <c r="T59" i="4"/>
  <c r="Q59" i="4"/>
  <c r="D60" i="7"/>
  <c r="C60" i="1"/>
  <c r="D60" i="1" s="1"/>
  <c r="D61" i="7"/>
  <c r="C61" i="1"/>
  <c r="D61" i="1" s="1"/>
  <c r="E59" i="7"/>
  <c r="G59" i="7"/>
  <c r="F59" i="7"/>
  <c r="H58" i="7"/>
  <c r="E58" i="1" s="1"/>
  <c r="W57" i="1" l="1"/>
  <c r="M57" i="1"/>
  <c r="H60" i="9"/>
  <c r="J60" i="9"/>
  <c r="I60" i="9"/>
  <c r="G62" i="9"/>
  <c r="J61" i="9"/>
  <c r="I61" i="9"/>
  <c r="H61" i="9"/>
  <c r="G61" i="1"/>
  <c r="G62" i="1" s="1"/>
  <c r="Q60" i="4"/>
  <c r="D62" i="7"/>
  <c r="E61" i="7"/>
  <c r="G61" i="7"/>
  <c r="F61" i="7"/>
  <c r="G60" i="7"/>
  <c r="F60" i="7"/>
  <c r="E60" i="7"/>
  <c r="H59" i="7"/>
  <c r="E59" i="1" s="1"/>
  <c r="I59" i="1" s="1"/>
  <c r="I58" i="1"/>
  <c r="K60" i="9" l="1"/>
  <c r="F60" i="1" s="1"/>
  <c r="K61" i="9"/>
  <c r="H60" i="7"/>
  <c r="E60" i="1" s="1"/>
  <c r="K58" i="1"/>
  <c r="M58" i="1"/>
  <c r="W58" i="1"/>
  <c r="W59" i="1"/>
  <c r="K59" i="1"/>
  <c r="M59" i="1"/>
  <c r="H61" i="7"/>
  <c r="I60" i="1" l="1"/>
  <c r="K60" i="1" s="1"/>
  <c r="K62" i="9"/>
  <c r="F61" i="1"/>
  <c r="F62" i="1" s="1"/>
  <c r="E61" i="1"/>
  <c r="H62" i="7"/>
  <c r="M60" i="1" l="1"/>
  <c r="W60" i="1"/>
  <c r="I61" i="1"/>
  <c r="E62" i="1"/>
  <c r="K61" i="1" l="1"/>
  <c r="K62" i="1" s="1"/>
  <c r="P72" i="1" s="1"/>
  <c r="M61" i="1"/>
  <c r="M62" i="1" s="1"/>
  <c r="P73" i="1" s="1"/>
  <c r="W61" i="1"/>
  <c r="W62" i="1" s="1"/>
  <c r="I62" i="1"/>
  <c r="P71" i="1" s="1"/>
</calcChain>
</file>

<file path=xl/sharedStrings.xml><?xml version="1.0" encoding="utf-8"?>
<sst xmlns="http://schemas.openxmlformats.org/spreadsheetml/2006/main" count="198" uniqueCount="135">
  <si>
    <t>Calendar Year</t>
  </si>
  <si>
    <t>Project Year</t>
  </si>
  <si>
    <t>Notes</t>
  </si>
  <si>
    <t>Totals</t>
  </si>
  <si>
    <r>
      <t>Affected Population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</si>
  <si>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2. Assumes increase in travel speed of 7 mph over 1 mile project length per vehicle per day </t>
  </si>
  <si>
    <t>Year</t>
  </si>
  <si>
    <t xml:space="preserve">Type </t>
  </si>
  <si>
    <t>PDO</t>
  </si>
  <si>
    <t>Injury</t>
  </si>
  <si>
    <t>Fatality</t>
  </si>
  <si>
    <t>Value of Life Crash Cost by Type</t>
  </si>
  <si>
    <t>AIS Level</t>
  </si>
  <si>
    <t xml:space="preserve">Severity </t>
  </si>
  <si>
    <t>Fraction of VSL</t>
  </si>
  <si>
    <t>Minor</t>
  </si>
  <si>
    <t>Moderate</t>
  </si>
  <si>
    <t>Serious</t>
  </si>
  <si>
    <t>Severe</t>
  </si>
  <si>
    <t xml:space="preserve">Critical </t>
  </si>
  <si>
    <t>Fatal</t>
  </si>
  <si>
    <t>Cost ($2016)</t>
  </si>
  <si>
    <t>Kabco - AIS Data Conversion for Kabco "0" Accident (i.e. PDO)</t>
  </si>
  <si>
    <t>AIS 0</t>
  </si>
  <si>
    <t>AIS 1</t>
  </si>
  <si>
    <t>AIS 2</t>
  </si>
  <si>
    <t>AIS 3</t>
  </si>
  <si>
    <t>AIS 4</t>
  </si>
  <si>
    <t>AIS 5</t>
  </si>
  <si>
    <t>AIS 6</t>
  </si>
  <si>
    <t>Total</t>
  </si>
  <si>
    <t>Average per year</t>
  </si>
  <si>
    <t>Type</t>
  </si>
  <si>
    <t>Total per year</t>
  </si>
  <si>
    <t>PDO Crashes</t>
  </si>
  <si>
    <t>Injury Crashes</t>
  </si>
  <si>
    <t>Fatal Crashes)</t>
  </si>
  <si>
    <t>% increase in traffic volume</t>
  </si>
  <si>
    <t>Traffic Volume</t>
  </si>
  <si>
    <t>Total Expected Crashes per year with improvements</t>
  </si>
  <si>
    <t>Expected Crashes per year based on % increase in traffic volume per year</t>
  </si>
  <si>
    <t>Cost Savings ($2016)</t>
  </si>
  <si>
    <t>Benefits</t>
  </si>
  <si>
    <t>Costs</t>
  </si>
  <si>
    <t xml:space="preserve">Category - Intercity Travel </t>
  </si>
  <si>
    <t xml:space="preserve">Personal </t>
  </si>
  <si>
    <t>Business</t>
  </si>
  <si>
    <t>Truck</t>
  </si>
  <si>
    <t xml:space="preserve">Recommended Hourly Values of Travel Time Savings </t>
  </si>
  <si>
    <t>Surface Modes      ($2016)</t>
  </si>
  <si>
    <t xml:space="preserve">Estimated Percentage of Personal and Business Travel </t>
  </si>
  <si>
    <t>Personal</t>
  </si>
  <si>
    <t>Value of Time Saved ($2016)</t>
  </si>
  <si>
    <t>Total Traffic Volumes</t>
  </si>
  <si>
    <t>Automobile Traffic Volumes</t>
  </si>
  <si>
    <t>Truck Traffic Volumes</t>
  </si>
  <si>
    <t>Volume of Business Travel (21.4% of Auto)</t>
  </si>
  <si>
    <t>Volume of Personal Travel (78.6% of Auto)</t>
  </si>
  <si>
    <t>Volume of Truck Travel (100% of Truck)</t>
  </si>
  <si>
    <r>
      <t>Total Travel Time Saved</t>
    </r>
    <r>
      <rPr>
        <vertAlign val="superscript"/>
        <sz val="11"/>
        <color theme="1"/>
        <rFont val="Calibri"/>
        <family val="2"/>
        <scheme val="minor"/>
      </rPr>
      <t>2</t>
    </r>
  </si>
  <si>
    <t>Truck Travel Time Saved</t>
  </si>
  <si>
    <t>Personal Travel Time Saved</t>
  </si>
  <si>
    <t>Business Travel Time Saved</t>
  </si>
  <si>
    <t>Total Benefits ($2016)</t>
  </si>
  <si>
    <t>Total Benefits ($2016) Discounted 7%</t>
  </si>
  <si>
    <t>Total Benefits ($2016) Discounted 3%</t>
  </si>
  <si>
    <t>7% Rate</t>
  </si>
  <si>
    <t>3% Rate</t>
  </si>
  <si>
    <t>Total Cost ($2016)</t>
  </si>
  <si>
    <t>Total Costs ($2016) Discounted 7%</t>
  </si>
  <si>
    <t>Total Costs ($2016) Discounted 3%</t>
  </si>
  <si>
    <t>2. A residual value equal to the proportion of the bridges remaining life to the total life multiplied by the construction cost ($2016).</t>
  </si>
  <si>
    <t>Cost of crashes per year</t>
  </si>
  <si>
    <r>
      <t>Expected Reduction in crashes per year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</si>
  <si>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Affected Population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</si>
  <si>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Project Year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</si>
  <si>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Travel Time Saved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</si>
  <si>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Value of Time Saved ($2016)</t>
    </r>
    <r>
      <rPr>
        <vertAlign val="superscript"/>
        <sz val="11"/>
        <color theme="1"/>
        <rFont val="Calibri"/>
        <family val="2"/>
        <scheme val="minor"/>
      </rPr>
      <t>4</t>
    </r>
  </si>
  <si>
    <r>
      <t>Crash Reductions Savings ($2016)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</si>
  <si>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3. Assumes increase in travel speed of 7 mph over 1 mile project length per vehicle per day </t>
  </si>
  <si>
    <t>5.  Crash reduction cost based on FHWA cost</t>
  </si>
  <si>
    <r>
      <t>Initial Construction Cost ($2016)</t>
    </r>
    <r>
      <rPr>
        <vertAlign val="superscript"/>
        <sz val="11"/>
        <color theme="1"/>
        <rFont val="Calibri"/>
        <family val="2"/>
        <scheme val="minor"/>
      </rPr>
      <t>1,2</t>
    </r>
    <r>
      <rPr>
        <sz val="11"/>
        <color theme="1"/>
        <rFont val="Calibri"/>
        <family val="2"/>
        <scheme val="minor"/>
      </rPr>
      <t xml:space="preserve"> </t>
    </r>
  </si>
  <si>
    <t>Benefit Cost Ratio</t>
  </si>
  <si>
    <t>Real Dollars</t>
  </si>
  <si>
    <t>7% Discount Rate</t>
  </si>
  <si>
    <t>3% Discount Rate</t>
  </si>
  <si>
    <t>-</t>
  </si>
  <si>
    <t>De-icing Operation and Maintenance Cost Savings ($2016)</t>
  </si>
  <si>
    <t>Source: TIGER Benefit-Cost Resource Guide</t>
  </si>
  <si>
    <t>3.  Cost from NHDOT Preservation Schedule Summary with Multipliers. Assumes deck life of 60 years.</t>
  </si>
  <si>
    <t>Existing Girder Fatigue Retrofits</t>
  </si>
  <si>
    <t>Existing Girder Repairs</t>
  </si>
  <si>
    <t>Clean and Paint Existing Girders</t>
  </si>
  <si>
    <t>Concrete Deck Replacement</t>
  </si>
  <si>
    <t>Temporary Bridge for Traffic Control</t>
  </si>
  <si>
    <t xml:space="preserve">Steel Rehabilitation </t>
  </si>
  <si>
    <t>Work Item</t>
  </si>
  <si>
    <t>Source:  Bridge Rehabilitation Study Report- NHDOT 2014</t>
  </si>
  <si>
    <t>Total Rehabilitation Cost ($2016)</t>
  </si>
  <si>
    <t>Fatigue Retrofits and Complete Repainting ($2015)</t>
  </si>
  <si>
    <t>Fatigue Retrofits and Complete Repainting ($2016)</t>
  </si>
  <si>
    <t>Net Present Value</t>
  </si>
  <si>
    <t>1.  Construction of Phase 1 (median work) starts in 2019.  The first bridge will be open in 2021 and the project will be complete in 2023.</t>
  </si>
  <si>
    <t>2. Assuming average occupancy rate of 1.51 people per vehicle  based for personal use and 1.16 people per vehicle for business use * volume of traffic  Source: "The Vermont Tranportation Energy Profile" - VTrans August 2013</t>
  </si>
  <si>
    <r>
      <t>Highway Operation &amp; Maintenance Cost ($2016)</t>
    </r>
    <r>
      <rPr>
        <vertAlign val="superscript"/>
        <sz val="11"/>
        <color theme="1"/>
        <rFont val="Calibri"/>
        <family val="2"/>
        <scheme val="minor"/>
      </rPr>
      <t>4</t>
    </r>
  </si>
  <si>
    <r>
      <t>Bridge Operations &amp; Maintenance Cost ($2016)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</si>
  <si>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Total Construction Cost Adjusted to 2019 Year using 3.2% inflation Rate </t>
  </si>
  <si>
    <t>Estimate Construction Cost $2016</t>
  </si>
  <si>
    <t>Relative Disutility oFactor by AIS for use with 3 or 7% discount rate</t>
  </si>
  <si>
    <t>1.) Based on CMF= 0.80 For all Crash Types for Adding auxilliary Lane Between Entrance and Exit Ramps  CMF=0.83 For PDO Crashes, CMF=0.76 for Injury Crashes, and CMF= 0.96 for Fatalities for Widening outside shoulder.  - Source: CMF Clearinghouse 2016. Values reduced by 50% for 2021 because only one new bridge will be open to traffic.</t>
  </si>
  <si>
    <t>Bridge Operations and Maintenance Cost ($2016)</t>
  </si>
  <si>
    <t>Initial Construction Cost ($2016)</t>
  </si>
  <si>
    <t>De-icing Operation and Maintenance Cost  ($2016)</t>
  </si>
  <si>
    <t>4. Cost of pavement rehabilitation if the project is delayed beyond 2019. Cost difference in maintenance of existing structures due to additional steel repairs and painting</t>
  </si>
  <si>
    <t>Replace Anti-Icing System</t>
  </si>
  <si>
    <t>Value of Travel Time</t>
  </si>
  <si>
    <t>Source: Intercity Travel All purposes - Based on "The Value of Travel Time Savings: Departmental Guidance for Conducting Economic Evaluations Revision 2 (2016 Update) - US DOT 2015 monetized to $2016</t>
  </si>
  <si>
    <t>1. Assuming average occupancy rate of 1.51 people per vehicle  based for personal use and 1.16 people per vehicle for business use * volume of traffic  Source: "The Vermont Tranportation Energy Profile" - VTrans August 2013 and 2015</t>
  </si>
  <si>
    <t>Base Year</t>
  </si>
  <si>
    <r>
      <t>Multiplier to Adjust to Real $2016</t>
    </r>
    <r>
      <rPr>
        <vertAlign val="superscript"/>
        <sz val="11"/>
        <color theme="1"/>
        <rFont val="Calibri"/>
        <family val="2"/>
        <scheme val="minor"/>
      </rPr>
      <t>1</t>
    </r>
  </si>
  <si>
    <t>1. Source: Bureau of Economic Analysis, National Income and Product Accounts Table 1.1.9 "Implicit Deflators for Gross Domestic Prodcut" (March 2016)</t>
  </si>
  <si>
    <r>
      <t>Observed Crashes (2007-2016)</t>
    </r>
    <r>
      <rPr>
        <vertAlign val="superscript"/>
        <sz val="11"/>
        <color theme="1"/>
        <rFont val="Calibri"/>
        <family val="2"/>
        <scheme val="minor"/>
      </rPr>
      <t>1</t>
    </r>
  </si>
  <si>
    <t>1.) Source: NHDOT and VTrans taken from Traffic Assessment prepared by RSG, 2013 for the years 2007-2011 and database query from NHDOT and VTrans for the years 2012-2016 which is the newest data available for both states.</t>
  </si>
  <si>
    <t>Type of Work</t>
  </si>
  <si>
    <r>
      <t>Affected Population (Daily)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</si>
  <si>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Total Travel Time Saved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</si>
  <si>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Affected Population (Off-Peak Speed Reduction)</t>
    </r>
    <r>
      <rPr>
        <vertAlign val="superscript"/>
        <sz val="11"/>
        <color theme="1"/>
        <rFont val="Calibri"/>
        <family val="2"/>
        <scheme val="minor"/>
      </rPr>
      <t>2</t>
    </r>
  </si>
  <si>
    <t>Average Number of Days Closed per Year     (Total both bridges)</t>
  </si>
  <si>
    <t>4.  Intercity Travel All purposes - Source "The Value of Travel Time Savings: Departmental Guidance for Conducting Economic Evaluations Revision 2 (2016 Update) - US DOT 2015 monetized to $2016</t>
  </si>
  <si>
    <t>2. Developed from AADT between 9am-3pm on an average day in the July (Approx 34% of daily)</t>
  </si>
  <si>
    <t>Value of Time Saved ($2016) Workzones</t>
  </si>
  <si>
    <t>3. Assumes decrease in travel speed of 20 mph over 1 mile project length per vehicle in off peak hours for cleaning, repair, and inspections that require a lane closure on the existing bridge</t>
  </si>
  <si>
    <t>1. Based on Preliminary Design Construction Cost Estimate ($2016) dated 9/25/17 adjusted by 3.2% (Inflation) to represent 2019 construction cost.</t>
  </si>
  <si>
    <t>Implicit Priced Delator from Gross Domestic Product</t>
  </si>
  <si>
    <t>Value of Travel Time - Work Zone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</si>
</sst>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.0"/>
    <numFmt numFmtId="165" formatCode="&quot;$&quot;#,##0"/>
    <numFmt numFmtId="166" formatCode="&quot;$&quot;#,##0.00"/>
    <numFmt numFmtId="167" formatCode="0.00000"/>
    <numFmt numFmtId="168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1" xfId="0" applyBorder="1"/>
    <xf numFmtId="165" fontId="0" fillId="0" borderId="22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39" fontId="3" fillId="0" borderId="0" xfId="0" applyNumberFormat="1" applyFont="1"/>
    <xf numFmtId="39" fontId="0" fillId="0" borderId="0" xfId="0" applyNumberFormat="1"/>
    <xf numFmtId="7" fontId="3" fillId="0" borderId="0" xfId="0" applyNumberFormat="1" applyFont="1"/>
    <xf numFmtId="7" fontId="0" fillId="0" borderId="0" xfId="0" applyNumberFormat="1"/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1" fillId="0" borderId="30" xfId="0" applyNumberFormat="1" applyFont="1" applyBorder="1"/>
    <xf numFmtId="165" fontId="1" fillId="0" borderId="33" xfId="0" applyNumberFormat="1" applyFont="1" applyBorder="1"/>
    <xf numFmtId="165" fontId="1" fillId="0" borderId="34" xfId="0" applyNumberFormat="1" applyFont="1" applyBorder="1"/>
    <xf numFmtId="0" fontId="0" fillId="0" borderId="19" xfId="0" applyBorder="1"/>
    <xf numFmtId="0" fontId="0" fillId="0" borderId="16" xfId="0" applyBorder="1"/>
    <xf numFmtId="0" fontId="0" fillId="0" borderId="18" xfId="0" applyBorder="1"/>
    <xf numFmtId="0" fontId="0" fillId="0" borderId="30" xfId="0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16" xfId="0" applyNumberForma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8" xfId="0" applyNumberFormat="1" applyBorder="1"/>
    <xf numFmtId="1" fontId="0" fillId="0" borderId="1" xfId="0" applyNumberFormat="1" applyBorder="1" applyAlignment="1">
      <alignment horizontal="center"/>
    </xf>
    <xf numFmtId="165" fontId="0" fillId="0" borderId="6" xfId="0" applyNumberFormat="1" applyBorder="1"/>
    <xf numFmtId="1" fontId="0" fillId="0" borderId="8" xfId="0" applyNumberFormat="1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0" fontId="5" fillId="0" borderId="0" xfId="0" applyFont="1"/>
    <xf numFmtId="0" fontId="5" fillId="0" borderId="0" xfId="0" applyFont="1" applyAlignment="1">
      <alignment vertical="top"/>
    </xf>
    <xf numFmtId="0" fontId="0" fillId="0" borderId="0" xfId="0" applyAlignment="1"/>
    <xf numFmtId="39" fontId="5" fillId="0" borderId="0" xfId="0" applyNumberFormat="1" applyFont="1"/>
    <xf numFmtId="7" fontId="5" fillId="0" borderId="0" xfId="0" applyNumberFormat="1" applyFont="1"/>
    <xf numFmtId="0" fontId="5" fillId="0" borderId="0" xfId="0" applyFont="1" applyAlignment="1"/>
    <xf numFmtId="0" fontId="0" fillId="0" borderId="31" xfId="0" applyBorder="1"/>
    <xf numFmtId="165" fontId="0" fillId="0" borderId="33" xfId="0" applyNumberFormat="1" applyBorder="1"/>
    <xf numFmtId="165" fontId="0" fillId="0" borderId="30" xfId="0" applyNumberFormat="1" applyBorder="1"/>
    <xf numFmtId="5" fontId="0" fillId="0" borderId="1" xfId="0" applyNumberFormat="1" applyBorder="1"/>
    <xf numFmtId="5" fontId="0" fillId="0" borderId="8" xfId="0" applyNumberFormat="1" applyBorder="1"/>
    <xf numFmtId="165" fontId="1" fillId="0" borderId="21" xfId="0" applyNumberFormat="1" applyFont="1" applyBorder="1" applyAlignment="1">
      <alignment horizontal="right"/>
    </xf>
    <xf numFmtId="165" fontId="1" fillId="0" borderId="22" xfId="0" applyNumberFormat="1" applyFont="1" applyBorder="1"/>
    <xf numFmtId="0" fontId="0" fillId="0" borderId="35" xfId="0" applyBorder="1"/>
    <xf numFmtId="5" fontId="0" fillId="0" borderId="35" xfId="0" quotePrefix="1" applyNumberFormat="1" applyFill="1" applyBorder="1" applyAlignment="1">
      <alignment horizontal="center"/>
    </xf>
    <xf numFmtId="165" fontId="0" fillId="0" borderId="35" xfId="0" applyNumberFormat="1" applyBorder="1"/>
    <xf numFmtId="165" fontId="0" fillId="0" borderId="35" xfId="0" applyNumberFormat="1" applyFill="1" applyBorder="1" applyAlignment="1"/>
    <xf numFmtId="165" fontId="0" fillId="0" borderId="36" xfId="0" applyNumberFormat="1" applyFill="1" applyBorder="1" applyAlignment="1"/>
    <xf numFmtId="7" fontId="0" fillId="0" borderId="1" xfId="0" applyNumberFormat="1" applyBorder="1"/>
    <xf numFmtId="7" fontId="0" fillId="0" borderId="6" xfId="0" applyNumberFormat="1" applyBorder="1"/>
    <xf numFmtId="4" fontId="0" fillId="0" borderId="1" xfId="0" applyNumberFormat="1" applyBorder="1"/>
    <xf numFmtId="5" fontId="0" fillId="0" borderId="6" xfId="0" applyNumberFormat="1" applyBorder="1"/>
    <xf numFmtId="4" fontId="0" fillId="0" borderId="8" xfId="0" applyNumberFormat="1" applyBorder="1"/>
    <xf numFmtId="5" fontId="1" fillId="0" borderId="22" xfId="0" applyNumberFormat="1" applyFont="1" applyBorder="1"/>
    <xf numFmtId="165" fontId="1" fillId="0" borderId="21" xfId="0" applyNumberFormat="1" applyFont="1" applyBorder="1"/>
    <xf numFmtId="0" fontId="0" fillId="0" borderId="0" xfId="0" applyBorder="1" applyAlignment="1">
      <alignment wrapText="1"/>
    </xf>
    <xf numFmtId="0" fontId="5" fillId="0" borderId="0" xfId="0" applyFont="1" applyAlignment="1">
      <alignment vertical="top" wrapText="1"/>
    </xf>
    <xf numFmtId="0" fontId="0" fillId="0" borderId="17" xfId="0" applyBorder="1" applyAlignment="1">
      <alignment horizontal="center" wrapText="1"/>
    </xf>
    <xf numFmtId="0" fontId="0" fillId="0" borderId="32" xfId="0" applyBorder="1"/>
    <xf numFmtId="165" fontId="1" fillId="0" borderId="32" xfId="0" applyNumberFormat="1" applyFont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1" fontId="0" fillId="0" borderId="41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5" fontId="0" fillId="0" borderId="41" xfId="0" applyNumberFormat="1" applyBorder="1"/>
    <xf numFmtId="165" fontId="0" fillId="0" borderId="41" xfId="0" applyNumberFormat="1" applyFill="1" applyBorder="1"/>
    <xf numFmtId="4" fontId="0" fillId="0" borderId="41" xfId="0" applyNumberFormat="1" applyBorder="1"/>
    <xf numFmtId="165" fontId="0" fillId="0" borderId="42" xfId="0" applyNumberFormat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5" fontId="0" fillId="0" borderId="44" xfId="0" applyNumberFormat="1" applyBorder="1"/>
    <xf numFmtId="165" fontId="0" fillId="0" borderId="44" xfId="0" applyNumberFormat="1" applyFill="1" applyBorder="1"/>
    <xf numFmtId="4" fontId="0" fillId="0" borderId="44" xfId="0" applyNumberFormat="1" applyBorder="1"/>
    <xf numFmtId="165" fontId="0" fillId="0" borderId="45" xfId="0" applyNumberFormat="1" applyBorder="1"/>
    <xf numFmtId="0" fontId="0" fillId="0" borderId="46" xfId="0" applyBorder="1"/>
    <xf numFmtId="0" fontId="0" fillId="0" borderId="47" xfId="0" applyBorder="1"/>
    <xf numFmtId="165" fontId="0" fillId="0" borderId="47" xfId="0" applyNumberFormat="1" applyBorder="1"/>
    <xf numFmtId="165" fontId="0" fillId="0" borderId="48" xfId="0" applyNumberFormat="1" applyBorder="1"/>
    <xf numFmtId="0" fontId="0" fillId="0" borderId="37" xfId="0" applyBorder="1"/>
    <xf numFmtId="0" fontId="0" fillId="0" borderId="40" xfId="0" applyBorder="1"/>
    <xf numFmtId="4" fontId="0" fillId="0" borderId="40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wrapText="1"/>
    </xf>
    <xf numFmtId="7" fontId="0" fillId="0" borderId="30" xfId="0" applyNumberFormat="1" applyBorder="1" applyAlignment="1">
      <alignment horizontal="center" wrapText="1"/>
    </xf>
    <xf numFmtId="39" fontId="0" fillId="0" borderId="30" xfId="0" applyNumberFormat="1" applyBorder="1" applyAlignment="1">
      <alignment horizontal="center" wrapText="1"/>
    </xf>
    <xf numFmtId="7" fontId="0" fillId="0" borderId="38" xfId="0" applyNumberFormat="1" applyBorder="1"/>
    <xf numFmtId="7" fontId="0" fillId="0" borderId="41" xfId="0" applyNumberFormat="1" applyBorder="1"/>
    <xf numFmtId="165" fontId="0" fillId="0" borderId="40" xfId="0" applyNumberFormat="1" applyBorder="1"/>
    <xf numFmtId="5" fontId="0" fillId="0" borderId="41" xfId="0" quotePrefix="1" applyNumberFormat="1" applyFill="1" applyBorder="1" applyAlignment="1">
      <alignment horizontal="center"/>
    </xf>
    <xf numFmtId="5" fontId="0" fillId="0" borderId="41" xfId="0" applyNumberFormat="1" applyFill="1" applyBorder="1" applyAlignment="1"/>
    <xf numFmtId="5" fontId="0" fillId="0" borderId="41" xfId="0" applyNumberFormat="1" applyBorder="1"/>
    <xf numFmtId="5" fontId="0" fillId="0" borderId="42" xfId="0" applyNumberFormat="1" applyBorder="1"/>
    <xf numFmtId="165" fontId="0" fillId="0" borderId="41" xfId="0" applyNumberFormat="1" applyFill="1" applyBorder="1" applyAlignment="1"/>
    <xf numFmtId="5" fontId="0" fillId="0" borderId="40" xfId="0" applyNumberFormat="1" applyBorder="1"/>
    <xf numFmtId="39" fontId="0" fillId="0" borderId="46" xfId="0" applyNumberFormat="1" applyBorder="1"/>
    <xf numFmtId="39" fontId="0" fillId="0" borderId="47" xfId="0" applyNumberFormat="1" applyBorder="1"/>
    <xf numFmtId="5" fontId="0" fillId="0" borderId="47" xfId="0" applyNumberFormat="1" applyBorder="1"/>
    <xf numFmtId="4" fontId="0" fillId="0" borderId="40" xfId="0" applyNumberFormat="1" applyBorder="1"/>
    <xf numFmtId="5" fontId="0" fillId="0" borderId="49" xfId="0" applyNumberFormat="1" applyBorder="1"/>
    <xf numFmtId="165" fontId="0" fillId="0" borderId="50" xfId="0" applyNumberFormat="1" applyFill="1" applyBorder="1" applyAlignment="1"/>
    <xf numFmtId="5" fontId="0" fillId="0" borderId="51" xfId="0" applyNumberFormat="1" applyBorder="1"/>
    <xf numFmtId="4" fontId="0" fillId="0" borderId="49" xfId="0" applyNumberFormat="1" applyBorder="1"/>
    <xf numFmtId="5" fontId="0" fillId="0" borderId="50" xfId="0" applyNumberFormat="1" applyBorder="1"/>
    <xf numFmtId="4" fontId="0" fillId="0" borderId="50" xfId="0" applyNumberFormat="1" applyBorder="1"/>
    <xf numFmtId="5" fontId="0" fillId="0" borderId="52" xfId="0" applyNumberFormat="1" applyBorder="1"/>
    <xf numFmtId="5" fontId="1" fillId="0" borderId="30" xfId="0" applyNumberFormat="1" applyFont="1" applyBorder="1"/>
    <xf numFmtId="0" fontId="0" fillId="0" borderId="29" xfId="0" applyBorder="1"/>
    <xf numFmtId="0" fontId="0" fillId="0" borderId="34" xfId="0" applyBorder="1"/>
    <xf numFmtId="10" fontId="0" fillId="0" borderId="34" xfId="0" applyNumberFormat="1" applyBorder="1" applyAlignment="1">
      <alignment horizontal="center"/>
    </xf>
    <xf numFmtId="1" fontId="0" fillId="0" borderId="41" xfId="0" applyNumberFormat="1" applyBorder="1"/>
    <xf numFmtId="1" fontId="0" fillId="0" borderId="42" xfId="0" applyNumberFormat="1" applyBorder="1"/>
    <xf numFmtId="0" fontId="0" fillId="0" borderId="43" xfId="0" applyBorder="1"/>
    <xf numFmtId="1" fontId="0" fillId="0" borderId="44" xfId="0" applyNumberFormat="1" applyBorder="1"/>
    <xf numFmtId="1" fontId="0" fillId="0" borderId="45" xfId="0" applyNumberFormat="1" applyBorder="1"/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22" xfId="0" applyBorder="1"/>
    <xf numFmtId="0" fontId="0" fillId="0" borderId="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53" xfId="0" applyBorder="1"/>
    <xf numFmtId="165" fontId="1" fillId="0" borderId="8" xfId="0" applyNumberFormat="1" applyFont="1" applyBorder="1"/>
    <xf numFmtId="0" fontId="0" fillId="0" borderId="54" xfId="0" applyBorder="1"/>
    <xf numFmtId="165" fontId="0" fillId="0" borderId="55" xfId="0" applyNumberFormat="1" applyBorder="1"/>
    <xf numFmtId="0" fontId="0" fillId="0" borderId="56" xfId="0" applyBorder="1"/>
    <xf numFmtId="165" fontId="0" fillId="0" borderId="57" xfId="0" applyNumberFormat="1" applyBorder="1"/>
    <xf numFmtId="0" fontId="0" fillId="0" borderId="58" xfId="0" applyBorder="1"/>
    <xf numFmtId="165" fontId="0" fillId="0" borderId="59" xfId="0" applyNumberFormat="1" applyBorder="1"/>
    <xf numFmtId="0" fontId="0" fillId="0" borderId="30" xfId="0" applyBorder="1" applyAlignment="1">
      <alignment horizontal="center"/>
    </xf>
    <xf numFmtId="165" fontId="0" fillId="0" borderId="39" xfId="0" applyNumberFormat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164" fontId="0" fillId="0" borderId="54" xfId="0" applyNumberFormat="1" applyBorder="1"/>
    <xf numFmtId="164" fontId="0" fillId="0" borderId="56" xfId="0" applyNumberFormat="1" applyBorder="1"/>
    <xf numFmtId="164" fontId="0" fillId="0" borderId="58" xfId="0" applyNumberFormat="1" applyBorder="1"/>
    <xf numFmtId="166" fontId="0" fillId="0" borderId="34" xfId="0" applyNumberFormat="1" applyBorder="1"/>
    <xf numFmtId="166" fontId="0" fillId="0" borderId="56" xfId="0" applyNumberFormat="1" applyBorder="1"/>
    <xf numFmtId="166" fontId="0" fillId="0" borderId="58" xfId="0" applyNumberFormat="1" applyBorder="1"/>
    <xf numFmtId="0" fontId="0" fillId="0" borderId="20" xfId="0" applyBorder="1" applyAlignment="1">
      <alignment horizontal="center" wrapText="1"/>
    </xf>
    <xf numFmtId="1" fontId="1" fillId="0" borderId="21" xfId="0" applyNumberFormat="1" applyFont="1" applyBorder="1"/>
    <xf numFmtId="164" fontId="1" fillId="0" borderId="30" xfId="0" applyNumberFormat="1" applyFont="1" applyBorder="1"/>
    <xf numFmtId="10" fontId="0" fillId="0" borderId="30" xfId="0" applyNumberFormat="1" applyFill="1" applyBorder="1" applyAlignment="1">
      <alignment horizontal="center"/>
    </xf>
    <xf numFmtId="0" fontId="0" fillId="0" borderId="63" xfId="0" applyBorder="1"/>
    <xf numFmtId="0" fontId="0" fillId="0" borderId="64" xfId="0" applyBorder="1"/>
    <xf numFmtId="165" fontId="0" fillId="0" borderId="64" xfId="0" applyNumberFormat="1" applyFill="1" applyBorder="1"/>
    <xf numFmtId="165" fontId="0" fillId="0" borderId="1" xfId="0" applyNumberFormat="1" applyFill="1" applyBorder="1"/>
    <xf numFmtId="165" fontId="0" fillId="0" borderId="65" xfId="0" applyNumberFormat="1" applyFill="1" applyBorder="1"/>
    <xf numFmtId="165" fontId="0" fillId="0" borderId="8" xfId="0" applyNumberFormat="1" applyFill="1" applyBorder="1"/>
    <xf numFmtId="165" fontId="0" fillId="0" borderId="0" xfId="0" applyNumberFormat="1" applyAlignment="1">
      <alignment wrapText="1"/>
    </xf>
    <xf numFmtId="168" fontId="0" fillId="0" borderId="42" xfId="0" applyNumberFormat="1" applyBorder="1" applyAlignment="1">
      <alignment horizontal="center"/>
    </xf>
    <xf numFmtId="166" fontId="0" fillId="0" borderId="6" xfId="0" applyNumberFormat="1" applyBorder="1"/>
    <xf numFmtId="166" fontId="0" fillId="0" borderId="9" xfId="0" applyNumberFormat="1" applyBorder="1"/>
    <xf numFmtId="0" fontId="1" fillId="0" borderId="26" xfId="0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66" xfId="0" applyBorder="1"/>
    <xf numFmtId="166" fontId="0" fillId="0" borderId="66" xfId="0" applyNumberFormat="1" applyBorder="1"/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67" xfId="0" applyBorder="1"/>
    <xf numFmtId="7" fontId="0" fillId="0" borderId="11" xfId="0" applyNumberFormat="1" applyBorder="1"/>
    <xf numFmtId="7" fontId="0" fillId="0" borderId="12" xfId="0" applyNumberFormat="1" applyBorder="1"/>
    <xf numFmtId="7" fontId="0" fillId="0" borderId="23" xfId="0" applyNumberFormat="1" applyBorder="1" applyAlignment="1">
      <alignment horizontal="center" wrapText="1"/>
    </xf>
    <xf numFmtId="7" fontId="0" fillId="0" borderId="24" xfId="0" applyNumberForma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1" fontId="1" fillId="0" borderId="32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7" fontId="0" fillId="0" borderId="21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3" fillId="0" borderId="21" xfId="0" applyFont="1" applyBorder="1" applyAlignment="1">
      <alignment horizontal="center"/>
    </xf>
    <xf numFmtId="0" fontId="0" fillId="0" borderId="32" xfId="0" applyBorder="1" applyAlignment="1"/>
    <xf numFmtId="0" fontId="0" fillId="0" borderId="22" xfId="0" applyBorder="1" applyAlignment="1"/>
    <xf numFmtId="0" fontId="0" fillId="0" borderId="1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wrapText="1"/>
    </xf>
    <xf numFmtId="165" fontId="0" fillId="0" borderId="33" xfId="0" applyNumberFormat="1" applyBorder="1" applyAlignment="1"/>
    <xf numFmtId="0" fontId="0" fillId="0" borderId="2" xfId="0" applyBorder="1" applyAlignment="1">
      <alignment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opLeftCell="D40" workbookViewId="0">
      <selection activeCell="J77" sqref="J77"/>
    </sheetView>
  </sheetViews>
  <sheetFormatPr defaultRowHeight="15" x14ac:dyDescent="0.25"/>
  <cols>
    <col min="1" max="1" width="11.140625" customWidth="1"/>
    <col min="2" max="2" width="8" customWidth="1"/>
    <col min="3" max="3" width="11.42578125" customWidth="1"/>
    <col min="4" max="4" width="12.28515625" customWidth="1"/>
    <col min="5" max="6" width="14.5703125" customWidth="1"/>
    <col min="7" max="7" width="16" customWidth="1"/>
    <col min="8" max="8" width="18.85546875" customWidth="1"/>
    <col min="9" max="9" width="14.7109375" customWidth="1"/>
    <col min="10" max="10" width="8.7109375" customWidth="1"/>
    <col min="11" max="11" width="14.42578125" customWidth="1"/>
    <col min="12" max="12" width="8.7109375" customWidth="1"/>
    <col min="13" max="13" width="15.28515625" customWidth="1"/>
    <col min="14" max="14" width="3.85546875" customWidth="1"/>
    <col min="15" max="15" width="16.42578125" customWidth="1"/>
    <col min="16" max="16" width="18.5703125" customWidth="1"/>
    <col min="17" max="17" width="20.28515625" customWidth="1"/>
    <col min="18" max="18" width="14.28515625" style="62" customWidth="1"/>
    <col min="19" max="19" width="8.7109375" customWidth="1"/>
    <col min="20" max="20" width="14.7109375" style="64" customWidth="1"/>
    <col min="21" max="21" width="8.140625" customWidth="1"/>
    <col min="22" max="22" width="14.85546875" style="64" customWidth="1"/>
    <col min="23" max="23" width="12.28515625" customWidth="1"/>
  </cols>
  <sheetData>
    <row r="1" spans="1:23" ht="16.5" thickBo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61"/>
      <c r="S1" s="48"/>
      <c r="T1" s="63"/>
      <c r="U1" s="48"/>
      <c r="V1" s="63"/>
    </row>
    <row r="2" spans="1:23" ht="21.75" thickBot="1" x14ac:dyDescent="0.4">
      <c r="A2" s="245" t="s">
        <v>42</v>
      </c>
      <c r="B2" s="246"/>
      <c r="C2" s="246"/>
      <c r="D2" s="246"/>
      <c r="E2" s="246"/>
      <c r="F2" s="246"/>
      <c r="G2" s="246"/>
      <c r="H2" s="247"/>
      <c r="I2" s="247"/>
      <c r="J2" s="247"/>
      <c r="K2" s="247"/>
      <c r="L2" s="247"/>
      <c r="M2" s="248"/>
      <c r="N2" s="39"/>
      <c r="O2" s="249" t="s">
        <v>43</v>
      </c>
      <c r="P2" s="250"/>
      <c r="Q2" s="250"/>
      <c r="R2" s="250"/>
      <c r="S2" s="251"/>
      <c r="T2" s="251"/>
      <c r="U2" s="251"/>
      <c r="V2" s="251"/>
      <c r="W2" s="252"/>
    </row>
    <row r="3" spans="1:23" ht="48" customHeight="1" thickBot="1" x14ac:dyDescent="0.3">
      <c r="A3" s="149" t="s">
        <v>0</v>
      </c>
      <c r="B3" s="149" t="s">
        <v>75</v>
      </c>
      <c r="C3" s="149" t="s">
        <v>74</v>
      </c>
      <c r="D3" s="149" t="s">
        <v>76</v>
      </c>
      <c r="E3" s="150" t="s">
        <v>77</v>
      </c>
      <c r="F3" s="149" t="s">
        <v>130</v>
      </c>
      <c r="G3" s="150" t="s">
        <v>78</v>
      </c>
      <c r="H3" s="149" t="s">
        <v>87</v>
      </c>
      <c r="I3" s="149" t="s">
        <v>63</v>
      </c>
      <c r="J3" s="149" t="s">
        <v>66</v>
      </c>
      <c r="K3" s="149" t="s">
        <v>64</v>
      </c>
      <c r="L3" s="149" t="s">
        <v>67</v>
      </c>
      <c r="M3" s="149" t="s">
        <v>65</v>
      </c>
      <c r="N3" s="60"/>
      <c r="O3" s="149" t="s">
        <v>81</v>
      </c>
      <c r="P3" s="149" t="s">
        <v>105</v>
      </c>
      <c r="Q3" s="149" t="s">
        <v>104</v>
      </c>
      <c r="R3" s="152" t="s">
        <v>68</v>
      </c>
      <c r="S3" s="149" t="s">
        <v>66</v>
      </c>
      <c r="T3" s="151" t="s">
        <v>69</v>
      </c>
      <c r="U3" s="149" t="s">
        <v>67</v>
      </c>
      <c r="V3" s="151" t="s">
        <v>70</v>
      </c>
      <c r="W3" s="149" t="s">
        <v>101</v>
      </c>
    </row>
    <row r="4" spans="1:23" x14ac:dyDescent="0.25">
      <c r="A4" s="119">
        <v>2016</v>
      </c>
      <c r="B4" s="120"/>
      <c r="C4" s="121"/>
      <c r="D4" s="121"/>
      <c r="E4" s="121"/>
      <c r="F4" s="121"/>
      <c r="G4" s="121"/>
      <c r="H4" s="121"/>
      <c r="I4" s="141"/>
      <c r="J4" s="145"/>
      <c r="K4" s="121"/>
      <c r="L4" s="121"/>
      <c r="M4" s="122"/>
      <c r="O4" s="145"/>
      <c r="P4" s="121"/>
      <c r="Q4" s="121"/>
      <c r="R4" s="162"/>
      <c r="S4" s="145"/>
      <c r="T4" s="153"/>
      <c r="U4" s="121"/>
      <c r="V4" s="153"/>
      <c r="W4" s="122"/>
    </row>
    <row r="5" spans="1:23" x14ac:dyDescent="0.25">
      <c r="A5" s="123">
        <f t="shared" ref="A5:A56" si="0">1+A4:A4</f>
        <v>2017</v>
      </c>
      <c r="B5" s="124"/>
      <c r="C5" s="125"/>
      <c r="D5" s="125"/>
      <c r="E5" s="125"/>
      <c r="F5" s="125"/>
      <c r="G5" s="125"/>
      <c r="H5" s="125"/>
      <c r="I5" s="142"/>
      <c r="J5" s="146"/>
      <c r="K5" s="125"/>
      <c r="L5" s="125"/>
      <c r="M5" s="126"/>
      <c r="O5" s="146"/>
      <c r="P5" s="125"/>
      <c r="Q5" s="125"/>
      <c r="R5" s="163"/>
      <c r="S5" s="146"/>
      <c r="T5" s="154"/>
      <c r="U5" s="125"/>
      <c r="V5" s="154"/>
      <c r="W5" s="126"/>
    </row>
    <row r="6" spans="1:23" x14ac:dyDescent="0.25">
      <c r="A6" s="123">
        <f t="shared" si="0"/>
        <v>2018</v>
      </c>
      <c r="B6" s="124"/>
      <c r="C6" s="125"/>
      <c r="D6" s="125"/>
      <c r="E6" s="125"/>
      <c r="F6" s="125"/>
      <c r="G6" s="125"/>
      <c r="H6" s="125"/>
      <c r="I6" s="142"/>
      <c r="J6" s="146"/>
      <c r="K6" s="125"/>
      <c r="L6" s="125"/>
      <c r="M6" s="126"/>
      <c r="O6" s="146"/>
      <c r="P6" s="125"/>
      <c r="Q6" s="125"/>
      <c r="R6" s="163"/>
      <c r="S6" s="146"/>
      <c r="T6" s="154"/>
      <c r="U6" s="125"/>
      <c r="V6" s="154"/>
      <c r="W6" s="126"/>
    </row>
    <row r="7" spans="1:23" x14ac:dyDescent="0.25">
      <c r="A7" s="123">
        <f t="shared" si="0"/>
        <v>2019</v>
      </c>
      <c r="B7" s="124">
        <v>1</v>
      </c>
      <c r="C7" s="127">
        <f>'Value of Travel Time'!C7</f>
        <v>58315.051830609998</v>
      </c>
      <c r="D7" s="128">
        <v>0</v>
      </c>
      <c r="E7" s="129">
        <f>'Value of Travel Time'!H7</f>
        <v>0</v>
      </c>
      <c r="F7" s="129">
        <f>'Work Zone Savings'!K7</f>
        <v>0</v>
      </c>
      <c r="G7" s="129">
        <f>'Value of Life-Crash cost'!Q5</f>
        <v>0</v>
      </c>
      <c r="H7" s="130">
        <v>15000</v>
      </c>
      <c r="I7" s="143">
        <f t="shared" ref="I7" si="1">SUM(E7:H7)</f>
        <v>15000</v>
      </c>
      <c r="J7" s="147">
        <f>1/(1+0.07)^(A7-$A$4)</f>
        <v>0.81629787689085187</v>
      </c>
      <c r="K7" s="129">
        <f>J7*I7</f>
        <v>12244.468153362777</v>
      </c>
      <c r="L7" s="131">
        <f>1/(1+0.03)^(A7-$A$4)</f>
        <v>0.91514165935315961</v>
      </c>
      <c r="M7" s="132">
        <f>L7*I7</f>
        <v>13727.124890297395</v>
      </c>
      <c r="N7" s="3"/>
      <c r="O7" s="155">
        <f>0.15*$V$72</f>
        <v>5687100</v>
      </c>
      <c r="P7" s="156" t="s">
        <v>86</v>
      </c>
      <c r="Q7" s="157">
        <v>-100000</v>
      </c>
      <c r="R7" s="164">
        <f>SUM(O7:Q7)</f>
        <v>5587100</v>
      </c>
      <c r="S7" s="165">
        <f>1/(1+0.07)^(A7-$A$4)</f>
        <v>0.81629787689085187</v>
      </c>
      <c r="T7" s="158">
        <f>S7*R7</f>
        <v>4560737.8679768788</v>
      </c>
      <c r="U7" s="131">
        <f>1/(1+0.03)^(A7-$A$4)</f>
        <v>0.91514165935315961</v>
      </c>
      <c r="V7" s="158">
        <f>U7*R7</f>
        <v>5112987.9649720378</v>
      </c>
      <c r="W7" s="159">
        <f t="shared" ref="W7:W38" si="2">I7-V7</f>
        <v>-5097987.9649720378</v>
      </c>
    </row>
    <row r="8" spans="1:23" x14ac:dyDescent="0.25">
      <c r="A8" s="123">
        <f t="shared" si="0"/>
        <v>2020</v>
      </c>
      <c r="B8" s="124">
        <f>B7+1</f>
        <v>2</v>
      </c>
      <c r="C8" s="127">
        <f>'Value of Travel Time'!C8</f>
        <v>58573.537887505394</v>
      </c>
      <c r="D8" s="128">
        <v>0</v>
      </c>
      <c r="E8" s="129">
        <f>'Value of Travel Time'!H8</f>
        <v>0</v>
      </c>
      <c r="F8" s="129">
        <f>'Work Zone Savings'!K8</f>
        <v>0</v>
      </c>
      <c r="G8" s="129">
        <f>'Value of Life-Crash cost'!Q6*0.5</f>
        <v>211818.8795088258</v>
      </c>
      <c r="H8" s="130">
        <v>15000</v>
      </c>
      <c r="I8" s="143">
        <f>SUM(E8:H8)</f>
        <v>226818.8795088258</v>
      </c>
      <c r="J8" s="147">
        <f>1/(1+0.07)^(A8-$A$4)</f>
        <v>0.7628952120475252</v>
      </c>
      <c r="K8" s="129">
        <f>J8*I8</f>
        <v>173039.03717926773</v>
      </c>
      <c r="L8" s="131">
        <f>1/(1+0.03)^(A8-$A$4)</f>
        <v>0.888487047915689</v>
      </c>
      <c r="M8" s="132">
        <f t="shared" ref="M8:M57" si="3">L8*I8</f>
        <v>201525.63666634102</v>
      </c>
      <c r="N8" s="3"/>
      <c r="O8" s="155">
        <f>0.25*$V$72</f>
        <v>9478500</v>
      </c>
      <c r="P8" s="156" t="s">
        <v>86</v>
      </c>
      <c r="Q8" s="160"/>
      <c r="R8" s="164">
        <f t="shared" ref="R8:R57" si="4">SUM(O8:Q8)</f>
        <v>9478500</v>
      </c>
      <c r="S8" s="165">
        <f>1/(1+0.07)^(A8-$A$4)</f>
        <v>0.7628952120475252</v>
      </c>
      <c r="T8" s="158">
        <f>S8*R8</f>
        <v>7231102.2673924677</v>
      </c>
      <c r="U8" s="131">
        <f>1/(1+0.03)^(A8-$A$4)</f>
        <v>0.888487047915689</v>
      </c>
      <c r="V8" s="158">
        <f>U8*R8</f>
        <v>8421524.4836688582</v>
      </c>
      <c r="W8" s="159">
        <f t="shared" si="2"/>
        <v>-8194705.6041600322</v>
      </c>
    </row>
    <row r="9" spans="1:23" x14ac:dyDescent="0.25">
      <c r="A9" s="123">
        <f t="shared" si="0"/>
        <v>2021</v>
      </c>
      <c r="B9" s="124">
        <f t="shared" ref="B9:B61" si="5">B8+1</f>
        <v>3</v>
      </c>
      <c r="C9" s="127">
        <f>'Value of Travel Time'!C9</f>
        <v>58832.023944400804</v>
      </c>
      <c r="D9" s="128">
        <f t="shared" ref="D9:D57" si="6">(C9/56)-(C9/63)</f>
        <v>116.73020623889045</v>
      </c>
      <c r="E9" s="129">
        <f>'Value of Travel Time'!H9</f>
        <v>3559.1455441771909</v>
      </c>
      <c r="F9" s="129">
        <f>'Work Zone Savings'!K9*0.5</f>
        <v>16897.254829470457</v>
      </c>
      <c r="G9" s="129">
        <f>'Value of Life-Crash cost'!Q7</f>
        <v>624484.52048749046</v>
      </c>
      <c r="H9" s="130">
        <v>15000</v>
      </c>
      <c r="I9" s="143">
        <f t="shared" ref="I9:I57" si="7">SUM(E9:H9)</f>
        <v>659940.92086113815</v>
      </c>
      <c r="J9" s="147">
        <f t="shared" ref="J9:J57" si="8">1/(1+0.07)^(A9-$A$4)</f>
        <v>0.71298617948366838</v>
      </c>
      <c r="K9" s="129">
        <f t="shared" ref="K9:K57" si="9">J9*I9</f>
        <v>470528.75584971684</v>
      </c>
      <c r="L9" s="131">
        <f t="shared" ref="L9:L57" si="10">1/(1+0.03)^(A9-$A$4)</f>
        <v>0.86260878438416411</v>
      </c>
      <c r="M9" s="132">
        <f t="shared" si="3"/>
        <v>569270.8355093922</v>
      </c>
      <c r="N9" s="3"/>
      <c r="O9" s="155">
        <f>0.25*$V$72</f>
        <v>9478500</v>
      </c>
      <c r="P9" s="156" t="s">
        <v>86</v>
      </c>
      <c r="Q9" s="160"/>
      <c r="R9" s="164">
        <f t="shared" si="4"/>
        <v>9478500</v>
      </c>
      <c r="S9" s="165">
        <f t="shared" ref="S9:S57" si="11">1/(1+0.07)^(A9-$A$4)</f>
        <v>0.71298617948366838</v>
      </c>
      <c r="T9" s="158">
        <f t="shared" ref="T9:T57" si="12">S9*R9</f>
        <v>6758039.5022359509</v>
      </c>
      <c r="U9" s="131">
        <f t="shared" ref="U9:U57" si="13">1/(1+0.03)^(A9-$A$4)</f>
        <v>0.86260878438416411</v>
      </c>
      <c r="V9" s="158">
        <f t="shared" ref="V9:V57" si="14">U9*R9</f>
        <v>8176237.3627852993</v>
      </c>
      <c r="W9" s="159">
        <f t="shared" si="2"/>
        <v>-7516296.4419241613</v>
      </c>
    </row>
    <row r="10" spans="1:23" x14ac:dyDescent="0.25">
      <c r="A10" s="123">
        <f t="shared" si="0"/>
        <v>2022</v>
      </c>
      <c r="B10" s="124">
        <f t="shared" si="5"/>
        <v>4</v>
      </c>
      <c r="C10" s="127">
        <f>'Value of Travel Time'!C10</f>
        <v>59090.510001296199</v>
      </c>
      <c r="D10" s="128">
        <f t="shared" si="6"/>
        <v>117.24307539939707</v>
      </c>
      <c r="E10" s="129">
        <f>'Value of Travel Time'!H10</f>
        <v>3574.7831074624592</v>
      </c>
      <c r="F10" s="129">
        <f>'Work Zone Savings'!K10*0.5</f>
        <v>18668.644598777766</v>
      </c>
      <c r="G10" s="129">
        <f>'Value of Life-Crash cost'!Q8</f>
        <v>842355.19290253264</v>
      </c>
      <c r="H10" s="130">
        <v>15000</v>
      </c>
      <c r="I10" s="143">
        <f t="shared" si="7"/>
        <v>879598.62060877285</v>
      </c>
      <c r="J10" s="147">
        <f t="shared" si="8"/>
        <v>0.66634222381651254</v>
      </c>
      <c r="K10" s="129">
        <f t="shared" si="9"/>
        <v>586113.7009223866</v>
      </c>
      <c r="L10" s="131">
        <f t="shared" si="10"/>
        <v>0.83748425668365445</v>
      </c>
      <c r="M10" s="132">
        <f t="shared" si="3"/>
        <v>736649.99696050596</v>
      </c>
      <c r="N10" s="3"/>
      <c r="O10" s="155">
        <f>0.25*$V$72</f>
        <v>9478500</v>
      </c>
      <c r="P10" s="156" t="s">
        <v>86</v>
      </c>
      <c r="Q10" s="157">
        <v>-400000</v>
      </c>
      <c r="R10" s="164">
        <f t="shared" si="4"/>
        <v>9078500</v>
      </c>
      <c r="S10" s="165">
        <f t="shared" si="11"/>
        <v>0.66634222381651254</v>
      </c>
      <c r="T10" s="158">
        <f t="shared" si="12"/>
        <v>6049387.8789182091</v>
      </c>
      <c r="U10" s="131">
        <f t="shared" si="13"/>
        <v>0.83748425668365445</v>
      </c>
      <c r="V10" s="158">
        <f t="shared" si="14"/>
        <v>7603100.8243025569</v>
      </c>
      <c r="W10" s="159">
        <f t="shared" si="2"/>
        <v>-6723502.2036937838</v>
      </c>
    </row>
    <row r="11" spans="1:23" x14ac:dyDescent="0.25">
      <c r="A11" s="123">
        <f t="shared" si="0"/>
        <v>2023</v>
      </c>
      <c r="B11" s="124">
        <f t="shared" si="5"/>
        <v>5</v>
      </c>
      <c r="C11" s="127">
        <f>'Value of Travel Time'!C11</f>
        <v>59348.996058191595</v>
      </c>
      <c r="D11" s="128">
        <f t="shared" si="6"/>
        <v>117.75594455990404</v>
      </c>
      <c r="E11" s="129">
        <f>'Value of Travel Time'!H11</f>
        <v>3590.4206707477379</v>
      </c>
      <c r="F11" s="129">
        <f>'Work Zone Savings'!K11</f>
        <v>41250.679547303669</v>
      </c>
      <c r="G11" s="129">
        <f>'Value of Life-Crash cost'!Q9</f>
        <v>859379.10384773603</v>
      </c>
      <c r="H11" s="130">
        <v>15000</v>
      </c>
      <c r="I11" s="143">
        <f t="shared" si="7"/>
        <v>919220.20406578737</v>
      </c>
      <c r="J11" s="147">
        <f t="shared" si="8"/>
        <v>0.62274974188459109</v>
      </c>
      <c r="K11" s="129">
        <f t="shared" si="9"/>
        <v>572444.14481707022</v>
      </c>
      <c r="L11" s="131">
        <f t="shared" si="10"/>
        <v>0.81309151134335378</v>
      </c>
      <c r="M11" s="132">
        <f t="shared" si="3"/>
        <v>747410.14498119708</v>
      </c>
      <c r="N11" s="3"/>
      <c r="O11" s="155">
        <f>0.1*$V$72</f>
        <v>3791400</v>
      </c>
      <c r="P11" s="156" t="s">
        <v>86</v>
      </c>
      <c r="Q11" s="160"/>
      <c r="R11" s="164">
        <f t="shared" si="4"/>
        <v>3791400</v>
      </c>
      <c r="S11" s="165">
        <f t="shared" si="11"/>
        <v>0.62274974188459109</v>
      </c>
      <c r="T11" s="158">
        <f t="shared" si="12"/>
        <v>2361093.3713812386</v>
      </c>
      <c r="U11" s="131">
        <f t="shared" si="13"/>
        <v>0.81309151134335378</v>
      </c>
      <c r="V11" s="158">
        <f t="shared" si="14"/>
        <v>3082755.1561071915</v>
      </c>
      <c r="W11" s="159">
        <f t="shared" si="2"/>
        <v>-2163534.9520414043</v>
      </c>
    </row>
    <row r="12" spans="1:23" x14ac:dyDescent="0.25">
      <c r="A12" s="123">
        <f t="shared" si="0"/>
        <v>2024</v>
      </c>
      <c r="B12" s="124">
        <f t="shared" si="5"/>
        <v>6</v>
      </c>
      <c r="C12" s="127">
        <f>'Value of Travel Time'!C12</f>
        <v>59607.482115086998</v>
      </c>
      <c r="D12" s="128">
        <f t="shared" si="6"/>
        <v>118.26881372041078</v>
      </c>
      <c r="E12" s="129">
        <f>'Value of Travel Time'!H12</f>
        <v>3606.0582340330093</v>
      </c>
      <c r="F12" s="129">
        <f>'Work Zone Savings'!K12</f>
        <v>45573.375075025862</v>
      </c>
      <c r="G12" s="129">
        <f>'Value of Life-Crash cost'!Q10</f>
        <v>876403.01479293942</v>
      </c>
      <c r="H12" s="130">
        <v>15000</v>
      </c>
      <c r="I12" s="143">
        <f t="shared" si="7"/>
        <v>940582.44810199831</v>
      </c>
      <c r="J12" s="147">
        <f t="shared" si="8"/>
        <v>0.5820091045650384</v>
      </c>
      <c r="K12" s="129">
        <f t="shared" si="9"/>
        <v>547427.54838943575</v>
      </c>
      <c r="L12" s="131">
        <f t="shared" si="10"/>
        <v>0.78940923431393573</v>
      </c>
      <c r="M12" s="132">
        <f t="shared" si="3"/>
        <v>742504.47016532568</v>
      </c>
      <c r="N12" s="3"/>
      <c r="O12" s="155">
        <v>0</v>
      </c>
      <c r="P12" s="160">
        <f>92400*0.1</f>
        <v>9240</v>
      </c>
      <c r="Q12" s="160"/>
      <c r="R12" s="164">
        <f t="shared" si="4"/>
        <v>9240</v>
      </c>
      <c r="S12" s="165">
        <f t="shared" si="11"/>
        <v>0.5820091045650384</v>
      </c>
      <c r="T12" s="158">
        <f t="shared" si="12"/>
        <v>5377.7641261809549</v>
      </c>
      <c r="U12" s="131">
        <f t="shared" si="13"/>
        <v>0.78940923431393573</v>
      </c>
      <c r="V12" s="158">
        <f t="shared" si="14"/>
        <v>7294.1413250607657</v>
      </c>
      <c r="W12" s="159">
        <f t="shared" si="2"/>
        <v>933288.30677693756</v>
      </c>
    </row>
    <row r="13" spans="1:23" x14ac:dyDescent="0.25">
      <c r="A13" s="123">
        <f t="shared" si="0"/>
        <v>2025</v>
      </c>
      <c r="B13" s="124">
        <f t="shared" si="5"/>
        <v>7</v>
      </c>
      <c r="C13" s="127">
        <f>'Value of Travel Time'!C13</f>
        <v>59865.968171982393</v>
      </c>
      <c r="D13" s="128">
        <f t="shared" si="6"/>
        <v>118.7816828809174</v>
      </c>
      <c r="E13" s="129">
        <f>'Value of Travel Time'!H13</f>
        <v>3621.6957973182775</v>
      </c>
      <c r="F13" s="129">
        <f>'Work Zone Savings'!K13</f>
        <v>50348.102912819464</v>
      </c>
      <c r="G13" s="129">
        <f>'Value of Life-Crash cost'!Q11</f>
        <v>893426.9257381428</v>
      </c>
      <c r="H13" s="130">
        <v>15000</v>
      </c>
      <c r="I13" s="143">
        <f t="shared" si="7"/>
        <v>962396.72444828053</v>
      </c>
      <c r="J13" s="147">
        <f t="shared" si="8"/>
        <v>0.54393374258414806</v>
      </c>
      <c r="K13" s="129">
        <f t="shared" si="9"/>
        <v>523480.05217987829</v>
      </c>
      <c r="L13" s="131">
        <f t="shared" si="10"/>
        <v>0.76641673234362695</v>
      </c>
      <c r="M13" s="132">
        <f t="shared" si="3"/>
        <v>737596.95276986109</v>
      </c>
      <c r="N13" s="3"/>
      <c r="O13" s="155">
        <v>0</v>
      </c>
      <c r="P13" s="160">
        <f t="shared" ref="P13:P15" si="15">92400*0.1</f>
        <v>9240</v>
      </c>
      <c r="Q13" s="160"/>
      <c r="R13" s="164">
        <f t="shared" si="4"/>
        <v>9240</v>
      </c>
      <c r="S13" s="165">
        <f t="shared" si="11"/>
        <v>0.54393374258414806</v>
      </c>
      <c r="T13" s="158">
        <f t="shared" si="12"/>
        <v>5025.9477814775282</v>
      </c>
      <c r="U13" s="131">
        <f t="shared" si="13"/>
        <v>0.76641673234362695</v>
      </c>
      <c r="V13" s="158">
        <f t="shared" si="14"/>
        <v>7081.6906068551134</v>
      </c>
      <c r="W13" s="159">
        <f t="shared" si="2"/>
        <v>955315.03384142544</v>
      </c>
    </row>
    <row r="14" spans="1:23" x14ac:dyDescent="0.25">
      <c r="A14" s="123">
        <f t="shared" si="0"/>
        <v>2026</v>
      </c>
      <c r="B14" s="124">
        <f t="shared" si="5"/>
        <v>8</v>
      </c>
      <c r="C14" s="127">
        <f>'Value of Travel Time'!C14</f>
        <v>60124.454228877796</v>
      </c>
      <c r="D14" s="128">
        <f t="shared" si="6"/>
        <v>119.29455204142414</v>
      </c>
      <c r="E14" s="129">
        <f>'Value of Travel Time'!H14</f>
        <v>3637.333360603549</v>
      </c>
      <c r="F14" s="129">
        <f>'Work Zone Savings'!K14</f>
        <v>55622.042567421537</v>
      </c>
      <c r="G14" s="129">
        <f>'Value of Life-Crash cost'!Q12</f>
        <v>910450.83668334619</v>
      </c>
      <c r="H14" s="130">
        <v>15000</v>
      </c>
      <c r="I14" s="143">
        <f t="shared" si="7"/>
        <v>984710.2126113713</v>
      </c>
      <c r="J14" s="147">
        <f t="shared" si="8"/>
        <v>0.5083492921347178</v>
      </c>
      <c r="K14" s="129">
        <f t="shared" si="9"/>
        <v>500576.73953881807</v>
      </c>
      <c r="L14" s="131">
        <f t="shared" si="10"/>
        <v>0.74409391489672516</v>
      </c>
      <c r="M14" s="132">
        <f t="shared" si="3"/>
        <v>732716.87714078184</v>
      </c>
      <c r="N14" s="3"/>
      <c r="O14" s="155">
        <v>0</v>
      </c>
      <c r="P14" s="160">
        <f t="shared" si="15"/>
        <v>9240</v>
      </c>
      <c r="Q14" s="160"/>
      <c r="R14" s="164">
        <f t="shared" si="4"/>
        <v>9240</v>
      </c>
      <c r="S14" s="165">
        <f t="shared" si="11"/>
        <v>0.5083492921347178</v>
      </c>
      <c r="T14" s="158">
        <f t="shared" si="12"/>
        <v>4697.1474593247922</v>
      </c>
      <c r="U14" s="131">
        <f t="shared" si="13"/>
        <v>0.74409391489672516</v>
      </c>
      <c r="V14" s="158">
        <f t="shared" si="14"/>
        <v>6875.4277736457407</v>
      </c>
      <c r="W14" s="159">
        <f t="shared" si="2"/>
        <v>977834.78483772557</v>
      </c>
    </row>
    <row r="15" spans="1:23" x14ac:dyDescent="0.25">
      <c r="A15" s="123">
        <f t="shared" si="0"/>
        <v>2027</v>
      </c>
      <c r="B15" s="124">
        <f t="shared" si="5"/>
        <v>9</v>
      </c>
      <c r="C15" s="127">
        <f>'Value of Travel Time'!C15</f>
        <v>60382.940285773191</v>
      </c>
      <c r="D15" s="128">
        <f t="shared" si="6"/>
        <v>119.80742120193099</v>
      </c>
      <c r="E15" s="129">
        <f>'Value of Travel Time'!H15</f>
        <v>3652.970923888824</v>
      </c>
      <c r="F15" s="129">
        <f>'Work Zone Savings'!K15</f>
        <v>61447.289123815804</v>
      </c>
      <c r="G15" s="129">
        <f>'Value of Life-Crash cost'!Q13</f>
        <v>927474.74762854958</v>
      </c>
      <c r="H15" s="130">
        <v>15000</v>
      </c>
      <c r="I15" s="143">
        <f t="shared" si="7"/>
        <v>1007575.0076762543</v>
      </c>
      <c r="J15" s="147">
        <f t="shared" si="8"/>
        <v>0.47509279638758667</v>
      </c>
      <c r="K15" s="129">
        <f t="shared" si="9"/>
        <v>478691.62796715571</v>
      </c>
      <c r="L15" s="131">
        <f t="shared" si="10"/>
        <v>0.72242127659876232</v>
      </c>
      <c r="M15" s="132">
        <f t="shared" si="3"/>
        <v>727893.6233144874</v>
      </c>
      <c r="N15" s="3"/>
      <c r="O15" s="155">
        <v>0</v>
      </c>
      <c r="P15" s="160">
        <f t="shared" si="15"/>
        <v>9240</v>
      </c>
      <c r="Q15" s="160"/>
      <c r="R15" s="164">
        <f t="shared" si="4"/>
        <v>9240</v>
      </c>
      <c r="S15" s="165">
        <f t="shared" si="11"/>
        <v>0.47509279638758667</v>
      </c>
      <c r="T15" s="158">
        <f t="shared" si="12"/>
        <v>4389.8574386213004</v>
      </c>
      <c r="U15" s="131">
        <f t="shared" si="13"/>
        <v>0.72242127659876232</v>
      </c>
      <c r="V15" s="158">
        <f t="shared" si="14"/>
        <v>6675.1725957725639</v>
      </c>
      <c r="W15" s="159">
        <f t="shared" si="2"/>
        <v>1000899.8350804817</v>
      </c>
    </row>
    <row r="16" spans="1:23" x14ac:dyDescent="0.25">
      <c r="A16" s="123">
        <f t="shared" si="0"/>
        <v>2028</v>
      </c>
      <c r="B16" s="124">
        <f t="shared" si="5"/>
        <v>10</v>
      </c>
      <c r="C16" s="127">
        <f>'Value of Travel Time'!C16</f>
        <v>60641.426342668587</v>
      </c>
      <c r="D16" s="128">
        <f t="shared" si="6"/>
        <v>120.32029036243762</v>
      </c>
      <c r="E16" s="129">
        <f>'Value of Travel Time'!H16</f>
        <v>3668.6084871740918</v>
      </c>
      <c r="F16" s="129">
        <f>'Work Zone Savings'!K16</f>
        <v>67881.3645658147</v>
      </c>
      <c r="G16" s="129">
        <f>'Value of Life-Crash cost'!Q14</f>
        <v>944498.65857375285</v>
      </c>
      <c r="H16" s="130">
        <v>15000</v>
      </c>
      <c r="I16" s="143">
        <f t="shared" si="7"/>
        <v>1031048.6316267416</v>
      </c>
      <c r="J16" s="147">
        <f t="shared" si="8"/>
        <v>0.44401195924073528</v>
      </c>
      <c r="K16" s="129">
        <f t="shared" si="9"/>
        <v>457797.9230010687</v>
      </c>
      <c r="L16" s="131">
        <f t="shared" si="10"/>
        <v>0.70137988019297326</v>
      </c>
      <c r="M16" s="132">
        <f t="shared" si="3"/>
        <v>723156.76572349307</v>
      </c>
      <c r="N16" s="3"/>
      <c r="O16" s="155">
        <v>0</v>
      </c>
      <c r="P16" s="160">
        <f>92400*(0.1+0.07)</f>
        <v>15708.000000000002</v>
      </c>
      <c r="Q16" s="160"/>
      <c r="R16" s="164">
        <f t="shared" si="4"/>
        <v>15708.000000000002</v>
      </c>
      <c r="S16" s="165">
        <f t="shared" si="11"/>
        <v>0.44401195924073528</v>
      </c>
      <c r="T16" s="158">
        <f t="shared" si="12"/>
        <v>6974.5398557534709</v>
      </c>
      <c r="U16" s="131">
        <f t="shared" si="13"/>
        <v>0.70137988019297326</v>
      </c>
      <c r="V16" s="158">
        <f t="shared" si="14"/>
        <v>11017.275158071225</v>
      </c>
      <c r="W16" s="159">
        <f t="shared" si="2"/>
        <v>1020031.3564686704</v>
      </c>
    </row>
    <row r="17" spans="1:23" x14ac:dyDescent="0.25">
      <c r="A17" s="123">
        <f t="shared" si="0"/>
        <v>2029</v>
      </c>
      <c r="B17" s="124">
        <f t="shared" si="5"/>
        <v>11</v>
      </c>
      <c r="C17" s="127">
        <f>'Value of Travel Time'!C17</f>
        <v>60899.912399563989</v>
      </c>
      <c r="D17" s="128">
        <f t="shared" si="6"/>
        <v>120.83315952294436</v>
      </c>
      <c r="E17" s="129">
        <f>'Value of Travel Time'!H17</f>
        <v>3684.2460504593646</v>
      </c>
      <c r="F17" s="129">
        <f>'Work Zone Savings'!K17</f>
        <v>74987.782204975287</v>
      </c>
      <c r="G17" s="129">
        <f>'Value of Life-Crash cost'!Q15</f>
        <v>961522.56951895636</v>
      </c>
      <c r="H17" s="130">
        <v>25000</v>
      </c>
      <c r="I17" s="143">
        <f t="shared" si="7"/>
        <v>1065194.5977743911</v>
      </c>
      <c r="J17" s="147">
        <f t="shared" si="8"/>
        <v>0.41496444788853759</v>
      </c>
      <c r="K17" s="129">
        <f t="shared" si="9"/>
        <v>442017.88815930305</v>
      </c>
      <c r="L17" s="131">
        <f t="shared" si="10"/>
        <v>0.68095133999317792</v>
      </c>
      <c r="M17" s="132">
        <f t="shared" si="3"/>
        <v>725345.68870796578</v>
      </c>
      <c r="N17" s="3"/>
      <c r="O17" s="155">
        <v>0</v>
      </c>
      <c r="P17" s="160">
        <f t="shared" ref="P17:P20" si="16">92400*0.1</f>
        <v>9240</v>
      </c>
      <c r="Q17" s="157"/>
      <c r="R17" s="164">
        <f t="shared" si="4"/>
        <v>9240</v>
      </c>
      <c r="S17" s="165">
        <f t="shared" si="11"/>
        <v>0.41496444788853759</v>
      </c>
      <c r="T17" s="158">
        <f t="shared" si="12"/>
        <v>3834.2714984900872</v>
      </c>
      <c r="U17" s="131">
        <f t="shared" si="13"/>
        <v>0.68095133999317792</v>
      </c>
      <c r="V17" s="158">
        <f t="shared" si="14"/>
        <v>6291.9903815369644</v>
      </c>
      <c r="W17" s="159">
        <f t="shared" si="2"/>
        <v>1058902.6073928541</v>
      </c>
    </row>
    <row r="18" spans="1:23" x14ac:dyDescent="0.25">
      <c r="A18" s="123">
        <f t="shared" si="0"/>
        <v>2030</v>
      </c>
      <c r="B18" s="124">
        <f t="shared" si="5"/>
        <v>12</v>
      </c>
      <c r="C18" s="127">
        <f>'Value of Travel Time'!C18</f>
        <v>61158.398456459385</v>
      </c>
      <c r="D18" s="128">
        <f t="shared" si="6"/>
        <v>121.34602868345121</v>
      </c>
      <c r="E18" s="129">
        <f>'Value of Travel Time'!H18</f>
        <v>3699.8836137446388</v>
      </c>
      <c r="F18" s="129">
        <f>'Work Zone Savings'!K18</f>
        <v>82836.669726309789</v>
      </c>
      <c r="G18" s="129">
        <f>'Value of Life-Crash cost'!Q16</f>
        <v>978546.48046415974</v>
      </c>
      <c r="H18" s="130">
        <v>15000</v>
      </c>
      <c r="I18" s="143">
        <f t="shared" si="7"/>
        <v>1080083.0338042141</v>
      </c>
      <c r="J18" s="147">
        <f t="shared" si="8"/>
        <v>0.3878172410173249</v>
      </c>
      <c r="K18" s="129">
        <f t="shared" si="9"/>
        <v>418874.82223957236</v>
      </c>
      <c r="L18" s="131">
        <f t="shared" si="10"/>
        <v>0.66111780581861923</v>
      </c>
      <c r="M18" s="132">
        <f t="shared" si="3"/>
        <v>714062.12541055959</v>
      </c>
      <c r="N18" s="3"/>
      <c r="O18" s="155">
        <v>0</v>
      </c>
      <c r="P18" s="160">
        <f t="shared" si="16"/>
        <v>9240</v>
      </c>
      <c r="Q18" s="157"/>
      <c r="R18" s="164">
        <f>SUM(O18:Q18)</f>
        <v>9240</v>
      </c>
      <c r="S18" s="165">
        <f t="shared" si="11"/>
        <v>0.3878172410173249</v>
      </c>
      <c r="T18" s="158">
        <f t="shared" si="12"/>
        <v>3583.4313070000821</v>
      </c>
      <c r="U18" s="131">
        <f t="shared" si="13"/>
        <v>0.66111780581861923</v>
      </c>
      <c r="V18" s="158">
        <f t="shared" si="14"/>
        <v>6108.7285257640415</v>
      </c>
      <c r="W18" s="159">
        <f t="shared" si="2"/>
        <v>1073974.30527845</v>
      </c>
    </row>
    <row r="19" spans="1:23" x14ac:dyDescent="0.25">
      <c r="A19" s="123">
        <f t="shared" si="0"/>
        <v>2031</v>
      </c>
      <c r="B19" s="124">
        <f t="shared" si="5"/>
        <v>13</v>
      </c>
      <c r="C19" s="127">
        <f>'Value of Travel Time'!C19</f>
        <v>61416.88451335478</v>
      </c>
      <c r="D19" s="128">
        <f t="shared" si="6"/>
        <v>121.85889784395795</v>
      </c>
      <c r="E19" s="129">
        <f>'Value of Travel Time'!H19</f>
        <v>3715.5211770299102</v>
      </c>
      <c r="F19" s="129">
        <f>'Work Zone Savings'!K19</f>
        <v>91505.456929861437</v>
      </c>
      <c r="G19" s="129">
        <f>'Value of Life-Crash cost'!Q17</f>
        <v>995570.39140936313</v>
      </c>
      <c r="H19" s="130">
        <v>15000</v>
      </c>
      <c r="I19" s="143">
        <f t="shared" si="7"/>
        <v>1105791.3695162544</v>
      </c>
      <c r="J19" s="147">
        <f t="shared" si="8"/>
        <v>0.36244601964235967</v>
      </c>
      <c r="K19" s="129">
        <f t="shared" si="9"/>
        <v>400789.68043604016</v>
      </c>
      <c r="L19" s="131">
        <f t="shared" si="10"/>
        <v>0.64186194739671765</v>
      </c>
      <c r="M19" s="132">
        <f t="shared" si="3"/>
        <v>709765.40185218642</v>
      </c>
      <c r="N19" s="3"/>
      <c r="O19" s="155">
        <v>0</v>
      </c>
      <c r="P19" s="160">
        <f t="shared" si="16"/>
        <v>9240</v>
      </c>
      <c r="Q19" s="160"/>
      <c r="R19" s="164">
        <f t="shared" si="4"/>
        <v>9240</v>
      </c>
      <c r="S19" s="165">
        <f t="shared" si="11"/>
        <v>0.36244601964235967</v>
      </c>
      <c r="T19" s="158">
        <f t="shared" si="12"/>
        <v>3349.0012214954036</v>
      </c>
      <c r="U19" s="131">
        <f t="shared" si="13"/>
        <v>0.64186194739671765</v>
      </c>
      <c r="V19" s="158">
        <f t="shared" si="14"/>
        <v>5930.8043939456711</v>
      </c>
      <c r="W19" s="159">
        <f t="shared" si="2"/>
        <v>1099860.5651223087</v>
      </c>
    </row>
    <row r="20" spans="1:23" x14ac:dyDescent="0.25">
      <c r="A20" s="123">
        <f t="shared" si="0"/>
        <v>2032</v>
      </c>
      <c r="B20" s="124">
        <f t="shared" si="5"/>
        <v>14</v>
      </c>
      <c r="C20" s="127">
        <f>'Value of Travel Time'!C20</f>
        <v>61675.37057025019</v>
      </c>
      <c r="D20" s="128">
        <f t="shared" si="6"/>
        <v>122.3717670044648</v>
      </c>
      <c r="E20" s="129">
        <f>'Value of Travel Time'!H20</f>
        <v>3731.1587403151852</v>
      </c>
      <c r="F20" s="129">
        <f>'Work Zone Savings'!K20</f>
        <v>101079.63487686038</v>
      </c>
      <c r="G20" s="129">
        <f>'Value of Life-Crash cost'!Q18</f>
        <v>1012594.3023545665</v>
      </c>
      <c r="H20" s="130">
        <v>15000</v>
      </c>
      <c r="I20" s="143">
        <f t="shared" si="7"/>
        <v>1132405.0959717422</v>
      </c>
      <c r="J20" s="147">
        <f t="shared" si="8"/>
        <v>0.33873459779659787</v>
      </c>
      <c r="K20" s="129">
        <f t="shared" si="9"/>
        <v>383584.78472680587</v>
      </c>
      <c r="L20" s="131">
        <f t="shared" si="10"/>
        <v>0.62316693922011435</v>
      </c>
      <c r="M20" s="132">
        <f t="shared" si="3"/>
        <v>705677.41761397047</v>
      </c>
      <c r="N20" s="3"/>
      <c r="O20" s="155">
        <v>0</v>
      </c>
      <c r="P20" s="160">
        <f t="shared" si="16"/>
        <v>9240</v>
      </c>
      <c r="Q20" s="160"/>
      <c r="R20" s="164">
        <f t="shared" si="4"/>
        <v>9240</v>
      </c>
      <c r="S20" s="165">
        <f t="shared" si="11"/>
        <v>0.33873459779659787</v>
      </c>
      <c r="T20" s="158">
        <f t="shared" si="12"/>
        <v>3129.9076836405643</v>
      </c>
      <c r="U20" s="131">
        <f t="shared" si="13"/>
        <v>0.62316693922011435</v>
      </c>
      <c r="V20" s="158">
        <f t="shared" si="14"/>
        <v>5758.0625183938564</v>
      </c>
      <c r="W20" s="159">
        <f t="shared" si="2"/>
        <v>1126647.0334533483</v>
      </c>
    </row>
    <row r="21" spans="1:23" x14ac:dyDescent="0.25">
      <c r="A21" s="123">
        <f t="shared" si="0"/>
        <v>2033</v>
      </c>
      <c r="B21" s="124">
        <f t="shared" si="5"/>
        <v>15</v>
      </c>
      <c r="C21" s="127">
        <f>'Value of Travel Time'!C21</f>
        <v>61933.856627145586</v>
      </c>
      <c r="D21" s="128">
        <f t="shared" si="6"/>
        <v>122.88463616497143</v>
      </c>
      <c r="E21" s="129">
        <f>'Value of Travel Time'!H21</f>
        <v>3746.7963036004535</v>
      </c>
      <c r="F21" s="129">
        <f>'Work Zone Savings'!K21</f>
        <v>111653.59384396042</v>
      </c>
      <c r="G21" s="129">
        <f>'Value of Life-Crash cost'!Q19</f>
        <v>1029618.2132997697</v>
      </c>
      <c r="H21" s="130">
        <v>15000</v>
      </c>
      <c r="I21" s="143">
        <f t="shared" si="7"/>
        <v>1160018.6034473306</v>
      </c>
      <c r="J21" s="147">
        <f t="shared" si="8"/>
        <v>0.31657439046411018</v>
      </c>
      <c r="K21" s="129">
        <f t="shared" si="9"/>
        <v>367232.18231336703</v>
      </c>
      <c r="L21" s="131">
        <f t="shared" si="10"/>
        <v>0.60501644584477121</v>
      </c>
      <c r="M21" s="132">
        <f t="shared" si="3"/>
        <v>701830.33257151907</v>
      </c>
      <c r="N21" s="3"/>
      <c r="O21" s="155">
        <v>0</v>
      </c>
      <c r="P21" s="160">
        <f>92400*(0.1+1.6)</f>
        <v>157080.00000000003</v>
      </c>
      <c r="Q21" s="157"/>
      <c r="R21" s="164">
        <f t="shared" si="4"/>
        <v>157080.00000000003</v>
      </c>
      <c r="S21" s="165">
        <f t="shared" si="11"/>
        <v>0.31657439046411018</v>
      </c>
      <c r="T21" s="158">
        <f t="shared" si="12"/>
        <v>49727.505254102434</v>
      </c>
      <c r="U21" s="131">
        <f t="shared" si="13"/>
        <v>0.60501644584477121</v>
      </c>
      <c r="V21" s="158">
        <f t="shared" si="14"/>
        <v>95035.983313296674</v>
      </c>
      <c r="W21" s="159">
        <f t="shared" si="2"/>
        <v>1064982.620134034</v>
      </c>
    </row>
    <row r="22" spans="1:23" x14ac:dyDescent="0.25">
      <c r="A22" s="123">
        <f t="shared" si="0"/>
        <v>2034</v>
      </c>
      <c r="B22" s="124">
        <f t="shared" si="5"/>
        <v>16</v>
      </c>
      <c r="C22" s="127">
        <f>'Value of Travel Time'!C22</f>
        <v>62192.342684040981</v>
      </c>
      <c r="D22" s="128">
        <f t="shared" si="6"/>
        <v>123.39750532547805</v>
      </c>
      <c r="E22" s="129">
        <f>'Value of Travel Time'!H22</f>
        <v>3762.4338668857222</v>
      </c>
      <c r="F22" s="129">
        <f>'Work Zone Savings'!K22</f>
        <v>123331.54825571187</v>
      </c>
      <c r="G22" s="129">
        <f>'Value of Life-Crash cost'!Q20</f>
        <v>1046642.1242449733</v>
      </c>
      <c r="H22" s="130">
        <v>15000</v>
      </c>
      <c r="I22" s="143">
        <f t="shared" si="7"/>
        <v>1188736.1063675708</v>
      </c>
      <c r="J22" s="147">
        <f t="shared" si="8"/>
        <v>0.29586391632159825</v>
      </c>
      <c r="K22" s="129">
        <f t="shared" si="9"/>
        <v>351704.11990279751</v>
      </c>
      <c r="L22" s="131">
        <f t="shared" si="10"/>
        <v>0.5873946076162827</v>
      </c>
      <c r="M22" s="132">
        <f t="shared" si="3"/>
        <v>698257.17875908699</v>
      </c>
      <c r="N22" s="3"/>
      <c r="O22" s="155">
        <v>0</v>
      </c>
      <c r="P22" s="160">
        <f t="shared" ref="P22:P60" si="17">92400*0.1</f>
        <v>9240</v>
      </c>
      <c r="Q22" s="160"/>
      <c r="R22" s="164">
        <f t="shared" si="4"/>
        <v>9240</v>
      </c>
      <c r="S22" s="165">
        <f t="shared" si="11"/>
        <v>0.29586391632159825</v>
      </c>
      <c r="T22" s="158">
        <f t="shared" si="12"/>
        <v>2733.7825868115679</v>
      </c>
      <c r="U22" s="131">
        <f t="shared" si="13"/>
        <v>0.5873946076162827</v>
      </c>
      <c r="V22" s="158">
        <f t="shared" si="14"/>
        <v>5427.5261743744522</v>
      </c>
      <c r="W22" s="159">
        <f t="shared" si="2"/>
        <v>1183308.5801931964</v>
      </c>
    </row>
    <row r="23" spans="1:23" x14ac:dyDescent="0.25">
      <c r="A23" s="123">
        <f t="shared" si="0"/>
        <v>2035</v>
      </c>
      <c r="B23" s="124">
        <f t="shared" si="5"/>
        <v>17</v>
      </c>
      <c r="C23" s="127">
        <f>'Value of Travel Time'!C23</f>
        <v>62450.828740936384</v>
      </c>
      <c r="D23" s="128">
        <f t="shared" si="6"/>
        <v>123.91037448598479</v>
      </c>
      <c r="E23" s="129">
        <f>'Value of Travel Time'!H23</f>
        <v>3778.0714301709932</v>
      </c>
      <c r="F23" s="129">
        <f>'Work Zone Savings'!K23</f>
        <v>136228.55761137407</v>
      </c>
      <c r="G23" s="129">
        <f>'Value of Life-Crash cost'!Q21</f>
        <v>1063666.0351901767</v>
      </c>
      <c r="H23" s="130">
        <v>15000</v>
      </c>
      <c r="I23" s="143">
        <f t="shared" si="7"/>
        <v>1218672.6642317218</v>
      </c>
      <c r="J23" s="147">
        <f t="shared" si="8"/>
        <v>0.27650833301083949</v>
      </c>
      <c r="K23" s="129">
        <f t="shared" si="9"/>
        <v>336973.14687259193</v>
      </c>
      <c r="L23" s="131">
        <f t="shared" si="10"/>
        <v>0.57028602681192497</v>
      </c>
      <c r="M23" s="132">
        <f t="shared" si="3"/>
        <v>694991.99166901177</v>
      </c>
      <c r="N23" s="3"/>
      <c r="O23" s="155">
        <v>0</v>
      </c>
      <c r="P23" s="160">
        <f t="shared" si="17"/>
        <v>9240</v>
      </c>
      <c r="Q23" s="157"/>
      <c r="R23" s="164">
        <f t="shared" si="4"/>
        <v>9240</v>
      </c>
      <c r="S23" s="165">
        <f t="shared" si="11"/>
        <v>0.27650833301083949</v>
      </c>
      <c r="T23" s="158">
        <f t="shared" si="12"/>
        <v>2554.9369970201569</v>
      </c>
      <c r="U23" s="131">
        <f t="shared" si="13"/>
        <v>0.57028602681192497</v>
      </c>
      <c r="V23" s="158">
        <f t="shared" si="14"/>
        <v>5269.4428877421869</v>
      </c>
      <c r="W23" s="159">
        <f t="shared" si="2"/>
        <v>1213403.2213439797</v>
      </c>
    </row>
    <row r="24" spans="1:23" x14ac:dyDescent="0.25">
      <c r="A24" s="123">
        <f t="shared" si="0"/>
        <v>2036</v>
      </c>
      <c r="B24" s="124">
        <f t="shared" si="5"/>
        <v>18</v>
      </c>
      <c r="C24" s="127">
        <f>'Value of Travel Time'!C24</f>
        <v>62709.314797831779</v>
      </c>
      <c r="D24" s="128">
        <f t="shared" si="6"/>
        <v>124.42324364649164</v>
      </c>
      <c r="E24" s="129">
        <f>'Value of Travel Time'!H24</f>
        <v>3793.7089934562682</v>
      </c>
      <c r="F24" s="129">
        <f>'Work Zone Savings'!K24</f>
        <v>150471.65335561152</v>
      </c>
      <c r="G24" s="129">
        <f>'Value of Life-Crash cost'!Q22</f>
        <v>1080689.9461353801</v>
      </c>
      <c r="H24" s="130">
        <v>15000</v>
      </c>
      <c r="I24" s="143">
        <f t="shared" si="7"/>
        <v>1249955.3084844479</v>
      </c>
      <c r="J24" s="147">
        <f t="shared" si="8"/>
        <v>0.2584190028138687</v>
      </c>
      <c r="K24" s="129">
        <f t="shared" si="9"/>
        <v>323012.20438045263</v>
      </c>
      <c r="L24" s="131">
        <f t="shared" si="10"/>
        <v>0.55367575418633497</v>
      </c>
      <c r="M24" s="132">
        <f t="shared" si="3"/>
        <v>692069.94812433969</v>
      </c>
      <c r="N24" s="3"/>
      <c r="O24" s="155">
        <v>0</v>
      </c>
      <c r="P24" s="160">
        <f t="shared" si="17"/>
        <v>9240</v>
      </c>
      <c r="Q24" s="160"/>
      <c r="R24" s="164">
        <f t="shared" si="4"/>
        <v>9240</v>
      </c>
      <c r="S24" s="165">
        <f t="shared" si="11"/>
        <v>0.2584190028138687</v>
      </c>
      <c r="T24" s="158">
        <f t="shared" si="12"/>
        <v>2387.7915860001467</v>
      </c>
      <c r="U24" s="131">
        <f t="shared" si="13"/>
        <v>0.55367575418633497</v>
      </c>
      <c r="V24" s="158">
        <f t="shared" si="14"/>
        <v>5115.9639686817354</v>
      </c>
      <c r="W24" s="159">
        <f t="shared" si="2"/>
        <v>1244839.3445157662</v>
      </c>
    </row>
    <row r="25" spans="1:23" x14ac:dyDescent="0.25">
      <c r="A25" s="123">
        <f t="shared" si="0"/>
        <v>2037</v>
      </c>
      <c r="B25" s="124">
        <f t="shared" si="5"/>
        <v>19</v>
      </c>
      <c r="C25" s="127">
        <f>'Value of Travel Time'!C25</f>
        <v>62967.800854727182</v>
      </c>
      <c r="D25" s="128">
        <f t="shared" si="6"/>
        <v>124.93611280699838</v>
      </c>
      <c r="E25" s="129">
        <f>'Value of Travel Time'!H25</f>
        <v>3809.3465567415396</v>
      </c>
      <c r="F25" s="129">
        <f>'Work Zone Savings'!K25</f>
        <v>166201.08267258279</v>
      </c>
      <c r="G25" s="129">
        <f>'Value of Life-Crash cost'!Q23</f>
        <v>1097713.8570805832</v>
      </c>
      <c r="H25" s="130">
        <v>15000</v>
      </c>
      <c r="I25" s="143">
        <f t="shared" si="7"/>
        <v>1282724.2863099077</v>
      </c>
      <c r="J25" s="147">
        <f t="shared" si="8"/>
        <v>0.24151308674193336</v>
      </c>
      <c r="K25" s="129">
        <f t="shared" si="9"/>
        <v>309794.7018255493</v>
      </c>
      <c r="L25" s="131">
        <f t="shared" si="10"/>
        <v>0.5375492759090631</v>
      </c>
      <c r="M25" s="132">
        <f t="shared" si="3"/>
        <v>689527.51129686064</v>
      </c>
      <c r="N25" s="3"/>
      <c r="O25" s="155">
        <v>0</v>
      </c>
      <c r="P25" s="160">
        <f t="shared" si="17"/>
        <v>9240</v>
      </c>
      <c r="Q25" s="160"/>
      <c r="R25" s="164">
        <f t="shared" si="4"/>
        <v>9240</v>
      </c>
      <c r="S25" s="165">
        <f t="shared" si="11"/>
        <v>0.24151308674193336</v>
      </c>
      <c r="T25" s="158">
        <f t="shared" si="12"/>
        <v>2231.5809214954643</v>
      </c>
      <c r="U25" s="131">
        <f t="shared" si="13"/>
        <v>0.5375492759090631</v>
      </c>
      <c r="V25" s="158">
        <f t="shared" si="14"/>
        <v>4966.9553093997429</v>
      </c>
      <c r="W25" s="159">
        <f t="shared" si="2"/>
        <v>1277757.331000508</v>
      </c>
    </row>
    <row r="26" spans="1:23" x14ac:dyDescent="0.25">
      <c r="A26" s="123">
        <f t="shared" si="0"/>
        <v>2038</v>
      </c>
      <c r="B26" s="124">
        <f t="shared" si="5"/>
        <v>20</v>
      </c>
      <c r="C26" s="127">
        <f>'Value of Travel Time'!C26</f>
        <v>63226.28691162257</v>
      </c>
      <c r="D26" s="128">
        <f t="shared" si="6"/>
        <v>125.44898196750512</v>
      </c>
      <c r="E26" s="129">
        <f>'Value of Travel Time'!H26</f>
        <v>3824.9841200268115</v>
      </c>
      <c r="F26" s="129">
        <f>'Work Zone Savings'!K26</f>
        <v>183571.68131939211</v>
      </c>
      <c r="G26" s="129">
        <f>'Value of Life-Crash cost'!Q24</f>
        <v>1114737.7680257866</v>
      </c>
      <c r="H26" s="130">
        <v>15000</v>
      </c>
      <c r="I26" s="143">
        <f t="shared" si="7"/>
        <v>1317134.4334652056</v>
      </c>
      <c r="J26" s="147">
        <f t="shared" si="8"/>
        <v>0.22571316517937698</v>
      </c>
      <c r="K26" s="129">
        <f t="shared" si="9"/>
        <v>297294.58194417704</v>
      </c>
      <c r="L26" s="131">
        <f t="shared" si="10"/>
        <v>0.52189250088258554</v>
      </c>
      <c r="M26" s="132">
        <f t="shared" si="3"/>
        <v>687402.58347972366</v>
      </c>
      <c r="N26" s="3"/>
      <c r="O26" s="155">
        <v>0</v>
      </c>
      <c r="P26" s="160">
        <f>92400*(0.1+0.7)</f>
        <v>73920</v>
      </c>
      <c r="Q26" s="160"/>
      <c r="R26" s="164">
        <f t="shared" si="4"/>
        <v>73920</v>
      </c>
      <c r="S26" s="165">
        <f t="shared" si="11"/>
        <v>0.22571316517937698</v>
      </c>
      <c r="T26" s="158">
        <f t="shared" si="12"/>
        <v>16684.717170059546</v>
      </c>
      <c r="U26" s="131">
        <f t="shared" si="13"/>
        <v>0.52189250088258554</v>
      </c>
      <c r="V26" s="158">
        <f t="shared" si="14"/>
        <v>38578.293665240722</v>
      </c>
      <c r="W26" s="159">
        <f t="shared" si="2"/>
        <v>1278556.1397999648</v>
      </c>
    </row>
    <row r="27" spans="1:23" x14ac:dyDescent="0.25">
      <c r="A27" s="123">
        <f t="shared" si="0"/>
        <v>2039</v>
      </c>
      <c r="B27" s="124">
        <f t="shared" si="5"/>
        <v>21</v>
      </c>
      <c r="C27" s="127">
        <f>'Value of Travel Time'!C27</f>
        <v>63484.772968517973</v>
      </c>
      <c r="D27" s="128">
        <f t="shared" si="6"/>
        <v>125.96185112801197</v>
      </c>
      <c r="E27" s="129">
        <f>'Value of Travel Time'!H27</f>
        <v>3840.621683312087</v>
      </c>
      <c r="F27" s="129">
        <f>'Work Zone Savings'!K27</f>
        <v>186165.39341593266</v>
      </c>
      <c r="G27" s="129">
        <f>'Value of Life-Crash cost'!Q25</f>
        <v>1131761.67897099</v>
      </c>
      <c r="H27" s="130">
        <v>25000</v>
      </c>
      <c r="I27" s="143">
        <f t="shared" si="7"/>
        <v>1346767.6940702347</v>
      </c>
      <c r="J27" s="147">
        <f t="shared" si="8"/>
        <v>0.21094688334521211</v>
      </c>
      <c r="K27" s="129">
        <f t="shared" si="9"/>
        <v>284096.44765413413</v>
      </c>
      <c r="L27" s="131">
        <f t="shared" si="10"/>
        <v>0.50669174842969467</v>
      </c>
      <c r="M27" s="132">
        <f t="shared" si="3"/>
        <v>682396.07763707533</v>
      </c>
      <c r="N27" s="3"/>
      <c r="O27" s="155">
        <v>0</v>
      </c>
      <c r="P27" s="160">
        <f t="shared" si="17"/>
        <v>9240</v>
      </c>
      <c r="Q27" s="160"/>
      <c r="R27" s="164">
        <f t="shared" si="4"/>
        <v>9240</v>
      </c>
      <c r="S27" s="165">
        <f t="shared" si="11"/>
        <v>0.21094688334521211</v>
      </c>
      <c r="T27" s="158">
        <f t="shared" si="12"/>
        <v>1949.1492021097599</v>
      </c>
      <c r="U27" s="131">
        <f t="shared" si="13"/>
        <v>0.50669174842969467</v>
      </c>
      <c r="V27" s="158">
        <f t="shared" si="14"/>
        <v>4681.8317554903788</v>
      </c>
      <c r="W27" s="159">
        <f t="shared" si="2"/>
        <v>1342085.8623147444</v>
      </c>
    </row>
    <row r="28" spans="1:23" x14ac:dyDescent="0.25">
      <c r="A28" s="123">
        <f t="shared" si="0"/>
        <v>2040</v>
      </c>
      <c r="B28" s="124">
        <f t="shared" si="5"/>
        <v>22</v>
      </c>
      <c r="C28" s="127">
        <f>'Value of Travel Time'!C28</f>
        <v>63743.259025413376</v>
      </c>
      <c r="D28" s="128">
        <f t="shared" si="6"/>
        <v>126.47472028851871</v>
      </c>
      <c r="E28" s="129">
        <f>'Value of Travel Time'!H28</f>
        <v>3856.259246597358</v>
      </c>
      <c r="F28" s="129">
        <f>'Work Zone Savings'!K28</f>
        <v>188792.62258627196</v>
      </c>
      <c r="G28" s="129">
        <f>'Value of Life-Crash cost'!Q26</f>
        <v>1148785.5899161934</v>
      </c>
      <c r="H28" s="130">
        <v>15000</v>
      </c>
      <c r="I28" s="143">
        <f t="shared" si="7"/>
        <v>1356434.4717490626</v>
      </c>
      <c r="J28" s="147">
        <f t="shared" si="8"/>
        <v>0.19714661994879637</v>
      </c>
      <c r="K28" s="129">
        <f t="shared" si="9"/>
        <v>267416.47128735884</v>
      </c>
      <c r="L28" s="131">
        <f t="shared" si="10"/>
        <v>0.49193373633950943</v>
      </c>
      <c r="M28" s="132">
        <f t="shared" si="3"/>
        <v>667275.87778722518</v>
      </c>
      <c r="N28" s="3"/>
      <c r="O28" s="155">
        <v>0</v>
      </c>
      <c r="P28" s="160">
        <f t="shared" si="17"/>
        <v>9240</v>
      </c>
      <c r="Q28" s="157"/>
      <c r="R28" s="164">
        <f t="shared" si="4"/>
        <v>9240</v>
      </c>
      <c r="S28" s="165">
        <f t="shared" si="11"/>
        <v>0.19714661994879637</v>
      </c>
      <c r="T28" s="158">
        <f t="shared" si="12"/>
        <v>1821.6347683268784</v>
      </c>
      <c r="U28" s="131">
        <f t="shared" si="13"/>
        <v>0.49193373633950943</v>
      </c>
      <c r="V28" s="158">
        <f t="shared" si="14"/>
        <v>4545.4677237770675</v>
      </c>
      <c r="W28" s="159">
        <f t="shared" si="2"/>
        <v>1351889.0040252856</v>
      </c>
    </row>
    <row r="29" spans="1:23" x14ac:dyDescent="0.25">
      <c r="A29" s="123">
        <f t="shared" si="0"/>
        <v>2041</v>
      </c>
      <c r="B29" s="124">
        <f t="shared" si="5"/>
        <v>23</v>
      </c>
      <c r="C29" s="127">
        <f>'Value of Travel Time'!C29</f>
        <v>64001.745082308778</v>
      </c>
      <c r="D29" s="128">
        <f t="shared" si="6"/>
        <v>126.98758944902545</v>
      </c>
      <c r="E29" s="129">
        <f>'Value of Travel Time'!H29</f>
        <v>3871.8968098826304</v>
      </c>
      <c r="F29" s="129">
        <f>'Work Zone Savings'!K29</f>
        <v>191453.77980067665</v>
      </c>
      <c r="G29" s="129">
        <f>'Value of Life-Crash cost'!Q27</f>
        <v>1165809.5008613968</v>
      </c>
      <c r="H29" s="130">
        <v>15000</v>
      </c>
      <c r="I29" s="143">
        <f t="shared" si="7"/>
        <v>1376135.177471956</v>
      </c>
      <c r="J29" s="147">
        <f t="shared" si="8"/>
        <v>0.18424917752223957</v>
      </c>
      <c r="K29" s="129">
        <f t="shared" si="9"/>
        <v>253551.77460862909</v>
      </c>
      <c r="L29" s="131">
        <f t="shared" si="10"/>
        <v>0.47760556926165965</v>
      </c>
      <c r="M29" s="132">
        <f t="shared" si="3"/>
        <v>657249.82481748855</v>
      </c>
      <c r="N29" s="3"/>
      <c r="O29" s="155">
        <v>0</v>
      </c>
      <c r="P29" s="160">
        <f t="shared" si="17"/>
        <v>9240</v>
      </c>
      <c r="Q29" s="160"/>
      <c r="R29" s="164">
        <f t="shared" si="4"/>
        <v>9240</v>
      </c>
      <c r="S29" s="165">
        <f t="shared" si="11"/>
        <v>0.18424917752223957</v>
      </c>
      <c r="T29" s="158">
        <f t="shared" si="12"/>
        <v>1702.4624003054937</v>
      </c>
      <c r="U29" s="131">
        <f t="shared" si="13"/>
        <v>0.47760556926165965</v>
      </c>
      <c r="V29" s="158">
        <f t="shared" si="14"/>
        <v>4413.0754599777347</v>
      </c>
      <c r="W29" s="159">
        <f t="shared" si="2"/>
        <v>1371722.1020119782</v>
      </c>
    </row>
    <row r="30" spans="1:23" x14ac:dyDescent="0.25">
      <c r="A30" s="123">
        <f t="shared" si="0"/>
        <v>2042</v>
      </c>
      <c r="B30" s="124">
        <f t="shared" si="5"/>
        <v>24</v>
      </c>
      <c r="C30" s="127">
        <f>'Value of Travel Time'!C30</f>
        <v>64260.231139204167</v>
      </c>
      <c r="D30" s="128">
        <f t="shared" si="6"/>
        <v>127.50045860953219</v>
      </c>
      <c r="E30" s="129">
        <f>'Value of Travel Time'!H30</f>
        <v>3887.5343731679013</v>
      </c>
      <c r="F30" s="129">
        <f>'Work Zone Savings'!K30</f>
        <v>194149.28089711061</v>
      </c>
      <c r="G30" s="129">
        <f>'Value of Life-Crash cost'!Q28</f>
        <v>1182833.4118065999</v>
      </c>
      <c r="H30" s="130">
        <v>15000</v>
      </c>
      <c r="I30" s="143">
        <f t="shared" si="7"/>
        <v>1395870.2270768785</v>
      </c>
      <c r="J30" s="147">
        <f t="shared" si="8"/>
        <v>0.17219549301143888</v>
      </c>
      <c r="K30" s="129">
        <f t="shared" si="9"/>
        <v>240362.56193149224</v>
      </c>
      <c r="L30" s="131">
        <f t="shared" si="10"/>
        <v>0.46369472743850448</v>
      </c>
      <c r="M30" s="132">
        <f t="shared" si="3"/>
        <v>647257.6644839365</v>
      </c>
      <c r="N30" s="3"/>
      <c r="O30" s="155">
        <v>0</v>
      </c>
      <c r="P30" s="160">
        <f t="shared" si="17"/>
        <v>9240</v>
      </c>
      <c r="Q30" s="157"/>
      <c r="R30" s="164">
        <f t="shared" si="4"/>
        <v>9240</v>
      </c>
      <c r="S30" s="165">
        <f t="shared" si="11"/>
        <v>0.17219549301143888</v>
      </c>
      <c r="T30" s="158">
        <f t="shared" si="12"/>
        <v>1591.0863554256953</v>
      </c>
      <c r="U30" s="131">
        <f t="shared" si="13"/>
        <v>0.46369472743850448</v>
      </c>
      <c r="V30" s="158">
        <f t="shared" si="14"/>
        <v>4284.5392815317819</v>
      </c>
      <c r="W30" s="159">
        <f t="shared" si="2"/>
        <v>1391585.6877953468</v>
      </c>
    </row>
    <row r="31" spans="1:23" x14ac:dyDescent="0.25">
      <c r="A31" s="123">
        <f t="shared" si="0"/>
        <v>2043</v>
      </c>
      <c r="B31" s="124">
        <f t="shared" si="5"/>
        <v>25</v>
      </c>
      <c r="C31" s="127">
        <f>'Value of Travel Time'!C31</f>
        <v>64518.717196099569</v>
      </c>
      <c r="D31" s="128">
        <f t="shared" si="6"/>
        <v>128.01332777003881</v>
      </c>
      <c r="E31" s="129">
        <f>'Value of Travel Time'!H31</f>
        <v>3903.1719364531705</v>
      </c>
      <c r="F31" s="129">
        <f>'Work Zone Savings'!K31</f>
        <v>33358.308832899478</v>
      </c>
      <c r="G31" s="129">
        <f>'Value of Life-Crash cost'!Q29</f>
        <v>1199857.3227518036</v>
      </c>
      <c r="H31" s="130">
        <v>15000</v>
      </c>
      <c r="I31" s="143">
        <f t="shared" si="7"/>
        <v>1252118.8035211563</v>
      </c>
      <c r="J31" s="147">
        <f t="shared" si="8"/>
        <v>0.16093036730041013</v>
      </c>
      <c r="K31" s="129">
        <f t="shared" si="9"/>
        <v>201503.93895440976</v>
      </c>
      <c r="L31" s="131">
        <f t="shared" si="10"/>
        <v>0.45018905576553836</v>
      </c>
      <c r="M31" s="132">
        <f t="shared" si="3"/>
        <v>563690.181863465</v>
      </c>
      <c r="N31" s="3"/>
      <c r="O31" s="155">
        <v>0</v>
      </c>
      <c r="P31" s="160">
        <f>92400*(0.1+50)</f>
        <v>4629240</v>
      </c>
      <c r="Q31" s="157"/>
      <c r="R31" s="164">
        <f t="shared" si="4"/>
        <v>4629240</v>
      </c>
      <c r="S31" s="165">
        <f t="shared" si="11"/>
        <v>0.16093036730041013</v>
      </c>
      <c r="T31" s="158">
        <f t="shared" si="12"/>
        <v>744985.2935217506</v>
      </c>
      <c r="U31" s="131">
        <f t="shared" si="13"/>
        <v>0.45018905576553836</v>
      </c>
      <c r="V31" s="158">
        <f t="shared" si="14"/>
        <v>2084033.1845120608</v>
      </c>
      <c r="W31" s="159">
        <f t="shared" si="2"/>
        <v>-831914.38099090452</v>
      </c>
    </row>
    <row r="32" spans="1:23" x14ac:dyDescent="0.25">
      <c r="A32" s="123">
        <f t="shared" si="0"/>
        <v>2044</v>
      </c>
      <c r="B32" s="124">
        <f t="shared" si="5"/>
        <v>26</v>
      </c>
      <c r="C32" s="127">
        <f>'Value of Travel Time'!C32</f>
        <v>64777.203252994972</v>
      </c>
      <c r="D32" s="128">
        <f t="shared" si="6"/>
        <v>128.52619693054567</v>
      </c>
      <c r="E32" s="129">
        <f>'Value of Travel Time'!H32</f>
        <v>3918.8094997384437</v>
      </c>
      <c r="F32" s="129">
        <f>'Work Zone Savings'!K32</f>
        <v>33826.874212733019</v>
      </c>
      <c r="G32" s="129">
        <f>'Value of Life-Crash cost'!Q30</f>
        <v>1216881.2336970067</v>
      </c>
      <c r="H32" s="130">
        <v>15000</v>
      </c>
      <c r="I32" s="143">
        <f t="shared" si="7"/>
        <v>1269626.9174094782</v>
      </c>
      <c r="J32" s="147">
        <f t="shared" si="8"/>
        <v>0.15040221243028987</v>
      </c>
      <c r="K32" s="129">
        <f t="shared" si="9"/>
        <v>190954.69733943444</v>
      </c>
      <c r="L32" s="131">
        <f t="shared" si="10"/>
        <v>0.4370767531704256</v>
      </c>
      <c r="M32" s="132">
        <f t="shared" si="3"/>
        <v>554924.41079911089</v>
      </c>
      <c r="N32" s="3"/>
      <c r="O32" s="155">
        <v>0</v>
      </c>
      <c r="P32" s="160">
        <f t="shared" si="17"/>
        <v>9240</v>
      </c>
      <c r="Q32" s="160"/>
      <c r="R32" s="164">
        <f t="shared" si="4"/>
        <v>9240</v>
      </c>
      <c r="S32" s="165">
        <f t="shared" si="11"/>
        <v>0.15040221243028987</v>
      </c>
      <c r="T32" s="158">
        <f t="shared" si="12"/>
        <v>1389.7164428558783</v>
      </c>
      <c r="U32" s="131">
        <f t="shared" si="13"/>
        <v>0.4370767531704256</v>
      </c>
      <c r="V32" s="158">
        <f t="shared" si="14"/>
        <v>4038.5891992947327</v>
      </c>
      <c r="W32" s="159">
        <f t="shared" si="2"/>
        <v>1265588.3282101834</v>
      </c>
    </row>
    <row r="33" spans="1:23" x14ac:dyDescent="0.25">
      <c r="A33" s="123">
        <f t="shared" si="0"/>
        <v>2045</v>
      </c>
      <c r="B33" s="124">
        <f t="shared" si="5"/>
        <v>27</v>
      </c>
      <c r="C33" s="127">
        <f>'Value of Travel Time'!C33</f>
        <v>65035.689309890367</v>
      </c>
      <c r="D33" s="128">
        <f t="shared" si="6"/>
        <v>129.03906609105229</v>
      </c>
      <c r="E33" s="129">
        <f>'Value of Travel Time'!H33</f>
        <v>3934.4470630237129</v>
      </c>
      <c r="F33" s="129">
        <f>'Work Zone Savings'!K33</f>
        <v>34301.475069279964</v>
      </c>
      <c r="G33" s="129">
        <f>'Value of Life-Crash cost'!Q31</f>
        <v>1233905.1446422103</v>
      </c>
      <c r="H33" s="130">
        <v>15000</v>
      </c>
      <c r="I33" s="143">
        <f t="shared" si="7"/>
        <v>1287141.066774514</v>
      </c>
      <c r="J33" s="147">
        <f t="shared" si="8"/>
        <v>0.1405628153554111</v>
      </c>
      <c r="K33" s="129">
        <f t="shared" si="9"/>
        <v>180924.17210539288</v>
      </c>
      <c r="L33" s="131">
        <f t="shared" si="10"/>
        <v>0.42434636230138412</v>
      </c>
      <c r="M33" s="132">
        <f t="shared" si="3"/>
        <v>546193.62945448793</v>
      </c>
      <c r="N33" s="3"/>
      <c r="O33" s="155">
        <v>0</v>
      </c>
      <c r="P33" s="160">
        <f t="shared" si="17"/>
        <v>9240</v>
      </c>
      <c r="Q33" s="160"/>
      <c r="R33" s="164">
        <f t="shared" si="4"/>
        <v>9240</v>
      </c>
      <c r="S33" s="165">
        <f t="shared" si="11"/>
        <v>0.1405628153554111</v>
      </c>
      <c r="T33" s="158">
        <f t="shared" si="12"/>
        <v>1298.8004138839985</v>
      </c>
      <c r="U33" s="131">
        <f t="shared" si="13"/>
        <v>0.42434636230138412</v>
      </c>
      <c r="V33" s="158">
        <f t="shared" si="14"/>
        <v>3920.9603876647893</v>
      </c>
      <c r="W33" s="159">
        <f t="shared" si="2"/>
        <v>1283220.1063868492</v>
      </c>
    </row>
    <row r="34" spans="1:23" x14ac:dyDescent="0.25">
      <c r="A34" s="123">
        <f t="shared" si="0"/>
        <v>2046</v>
      </c>
      <c r="B34" s="124">
        <f t="shared" si="5"/>
        <v>28</v>
      </c>
      <c r="C34" s="127">
        <f>'Value of Travel Time'!C34</f>
        <v>65294.17536678577</v>
      </c>
      <c r="D34" s="128">
        <f t="shared" si="6"/>
        <v>129.55193525155914</v>
      </c>
      <c r="E34" s="129">
        <f>'Value of Travel Time'!H34</f>
        <v>3950.0846263089879</v>
      </c>
      <c r="F34" s="129">
        <f>'Work Zone Savings'!K34</f>
        <v>34782.185255536555</v>
      </c>
      <c r="G34" s="129">
        <f>'Value of Life-Crash cost'!Q32</f>
        <v>1250929.0555874137</v>
      </c>
      <c r="H34" s="130">
        <v>15000</v>
      </c>
      <c r="I34" s="143">
        <f t="shared" si="7"/>
        <v>1304661.3254692592</v>
      </c>
      <c r="J34" s="147">
        <f t="shared" si="8"/>
        <v>0.13136711715458982</v>
      </c>
      <c r="K34" s="129">
        <f t="shared" si="9"/>
        <v>171389.5971899826</v>
      </c>
      <c r="L34" s="131">
        <f t="shared" si="10"/>
        <v>0.41198675951590691</v>
      </c>
      <c r="M34" s="132">
        <f t="shared" si="3"/>
        <v>537503.191745808</v>
      </c>
      <c r="N34" s="3"/>
      <c r="O34" s="155">
        <v>0</v>
      </c>
      <c r="P34" s="160">
        <f t="shared" si="17"/>
        <v>9240</v>
      </c>
      <c r="Q34" s="160"/>
      <c r="R34" s="164">
        <f t="shared" si="4"/>
        <v>9240</v>
      </c>
      <c r="S34" s="165">
        <f t="shared" si="11"/>
        <v>0.13136711715458982</v>
      </c>
      <c r="T34" s="158">
        <f t="shared" si="12"/>
        <v>1213.83216250841</v>
      </c>
      <c r="U34" s="131">
        <f t="shared" si="13"/>
        <v>0.41198675951590691</v>
      </c>
      <c r="V34" s="158">
        <f t="shared" si="14"/>
        <v>3806.7576579269798</v>
      </c>
      <c r="W34" s="159">
        <f t="shared" si="2"/>
        <v>1300854.5678113322</v>
      </c>
    </row>
    <row r="35" spans="1:23" x14ac:dyDescent="0.25">
      <c r="A35" s="123">
        <f t="shared" si="0"/>
        <v>2047</v>
      </c>
      <c r="B35" s="124">
        <f t="shared" si="5"/>
        <v>29</v>
      </c>
      <c r="C35" s="127">
        <f>'Value of Travel Time'!C35</f>
        <v>65552.661423681158</v>
      </c>
      <c r="D35" s="128">
        <f t="shared" si="6"/>
        <v>130.06480441206577</v>
      </c>
      <c r="E35" s="129">
        <f>'Value of Travel Time'!H35</f>
        <v>3965.7221895942562</v>
      </c>
      <c r="F35" s="129">
        <f>'Work Zone Savings'!K35</f>
        <v>35269.07949801135</v>
      </c>
      <c r="G35" s="129">
        <f>'Value of Life-Crash cost'!Q33</f>
        <v>1267952.9665326169</v>
      </c>
      <c r="H35" s="130">
        <v>15000</v>
      </c>
      <c r="I35" s="143">
        <f t="shared" si="7"/>
        <v>1322187.7682202226</v>
      </c>
      <c r="J35" s="147">
        <f t="shared" si="8"/>
        <v>0.1227730066865325</v>
      </c>
      <c r="K35" s="129">
        <f t="shared" si="9"/>
        <v>162328.96770855287</v>
      </c>
      <c r="L35" s="131">
        <f t="shared" si="10"/>
        <v>0.39998714516107459</v>
      </c>
      <c r="M35" s="132">
        <f t="shared" si="3"/>
        <v>528858.11077729939</v>
      </c>
      <c r="N35" s="3"/>
      <c r="O35" s="155">
        <v>0</v>
      </c>
      <c r="P35" s="160">
        <f t="shared" si="17"/>
        <v>9240</v>
      </c>
      <c r="Q35" s="157"/>
      <c r="R35" s="164">
        <f t="shared" si="4"/>
        <v>9240</v>
      </c>
      <c r="S35" s="165">
        <f t="shared" si="11"/>
        <v>0.1227730066865325</v>
      </c>
      <c r="T35" s="158">
        <f t="shared" si="12"/>
        <v>1134.4225817835604</v>
      </c>
      <c r="U35" s="131">
        <f t="shared" si="13"/>
        <v>0.39998714516107459</v>
      </c>
      <c r="V35" s="158">
        <f t="shared" si="14"/>
        <v>3695.881221288329</v>
      </c>
      <c r="W35" s="159">
        <f t="shared" si="2"/>
        <v>1318491.8869989342</v>
      </c>
    </row>
    <row r="36" spans="1:23" x14ac:dyDescent="0.25">
      <c r="A36" s="123">
        <f t="shared" si="0"/>
        <v>2048</v>
      </c>
      <c r="B36" s="124">
        <f t="shared" si="5"/>
        <v>30</v>
      </c>
      <c r="C36" s="127">
        <f>'Value of Travel Time'!C36</f>
        <v>65811.147480576561</v>
      </c>
      <c r="D36" s="128">
        <f t="shared" si="6"/>
        <v>130.57767357257262</v>
      </c>
      <c r="E36" s="129">
        <f>'Value of Travel Time'!H36</f>
        <v>3981.3597528795317</v>
      </c>
      <c r="F36" s="129">
        <f>'Work Zone Savings'!K36</f>
        <v>35762.233406810126</v>
      </c>
      <c r="G36" s="129">
        <f>'Value of Life-Crash cost'!Q34</f>
        <v>1284976.8774778205</v>
      </c>
      <c r="H36" s="130">
        <v>15000</v>
      </c>
      <c r="I36" s="143">
        <f t="shared" si="7"/>
        <v>1339720.4706375101</v>
      </c>
      <c r="J36" s="147">
        <f t="shared" si="8"/>
        <v>0.11474112774442291</v>
      </c>
      <c r="K36" s="129">
        <f t="shared" si="9"/>
        <v>153721.03766323693</v>
      </c>
      <c r="L36" s="131">
        <f t="shared" si="10"/>
        <v>0.38833703413696569</v>
      </c>
      <c r="M36" s="132">
        <f t="shared" si="3"/>
        <v>520263.07413995051</v>
      </c>
      <c r="N36" s="3"/>
      <c r="O36" s="155">
        <v>0</v>
      </c>
      <c r="P36" s="160">
        <f>92400*(0.1+0.07)</f>
        <v>15708.000000000002</v>
      </c>
      <c r="Q36" s="160"/>
      <c r="R36" s="164">
        <f t="shared" si="4"/>
        <v>15708.000000000002</v>
      </c>
      <c r="S36" s="165">
        <f t="shared" si="11"/>
        <v>0.11474112774442291</v>
      </c>
      <c r="T36" s="158">
        <f t="shared" si="12"/>
        <v>1802.3536346093954</v>
      </c>
      <c r="U36" s="131">
        <f t="shared" si="13"/>
        <v>0.38833703413696569</v>
      </c>
      <c r="V36" s="158">
        <f t="shared" si="14"/>
        <v>6099.998132223458</v>
      </c>
      <c r="W36" s="159">
        <f t="shared" si="2"/>
        <v>1333620.4725052866</v>
      </c>
    </row>
    <row r="37" spans="1:23" x14ac:dyDescent="0.25">
      <c r="A37" s="123">
        <f t="shared" si="0"/>
        <v>2049</v>
      </c>
      <c r="B37" s="124">
        <f t="shared" si="5"/>
        <v>31</v>
      </c>
      <c r="C37" s="127">
        <f>'Value of Travel Time'!C37</f>
        <v>66069.633537471964</v>
      </c>
      <c r="D37" s="128">
        <f t="shared" si="6"/>
        <v>131.09054273307925</v>
      </c>
      <c r="E37" s="129">
        <f>'Value of Travel Time'!H37</f>
        <v>3996.9973161647986</v>
      </c>
      <c r="F37" s="129">
        <f>'Work Zone Savings'!K37</f>
        <v>36261.723485835049</v>
      </c>
      <c r="G37" s="129">
        <f>'Value of Life-Crash cost'!Q35</f>
        <v>1302000.7884230237</v>
      </c>
      <c r="H37" s="130">
        <v>25000</v>
      </c>
      <c r="I37" s="143">
        <f t="shared" si="7"/>
        <v>1367259.5092250234</v>
      </c>
      <c r="J37" s="147">
        <f t="shared" si="8"/>
        <v>0.10723469882656347</v>
      </c>
      <c r="K37" s="129">
        <f t="shared" si="9"/>
        <v>146617.66168950038</v>
      </c>
      <c r="L37" s="131">
        <f t="shared" si="10"/>
        <v>0.37702624673491814</v>
      </c>
      <c r="M37" s="132">
        <f t="shared" si="3"/>
        <v>515492.72107573674</v>
      </c>
      <c r="N37" s="3"/>
      <c r="O37" s="155">
        <v>0</v>
      </c>
      <c r="P37" s="160">
        <f t="shared" si="17"/>
        <v>9240</v>
      </c>
      <c r="Q37" s="160"/>
      <c r="R37" s="164">
        <f t="shared" si="4"/>
        <v>9240</v>
      </c>
      <c r="S37" s="165">
        <f t="shared" si="11"/>
        <v>0.10723469882656347</v>
      </c>
      <c r="T37" s="158">
        <f t="shared" si="12"/>
        <v>990.84861715744648</v>
      </c>
      <c r="U37" s="131">
        <f t="shared" si="13"/>
        <v>0.37702624673491814</v>
      </c>
      <c r="V37" s="158">
        <f t="shared" si="14"/>
        <v>3483.7225198306437</v>
      </c>
      <c r="W37" s="159">
        <f t="shared" si="2"/>
        <v>1363775.7867051929</v>
      </c>
    </row>
    <row r="38" spans="1:23" x14ac:dyDescent="0.25">
      <c r="A38" s="123">
        <f t="shared" si="0"/>
        <v>2050</v>
      </c>
      <c r="B38" s="124">
        <f t="shared" si="5"/>
        <v>32</v>
      </c>
      <c r="C38" s="127">
        <f>'Value of Travel Time'!C38</f>
        <v>66328.119594367367</v>
      </c>
      <c r="D38" s="128">
        <f t="shared" si="6"/>
        <v>131.6034118935861</v>
      </c>
      <c r="E38" s="129">
        <f>'Value of Travel Time'!H38</f>
        <v>4012.634879450075</v>
      </c>
      <c r="F38" s="129">
        <f>'Work Zone Savings'!K38</f>
        <v>36767.62714309978</v>
      </c>
      <c r="G38" s="129">
        <f>'Value of Life-Crash cost'!Q36</f>
        <v>1319024.699368227</v>
      </c>
      <c r="H38" s="130">
        <v>15000</v>
      </c>
      <c r="I38" s="143">
        <f t="shared" si="7"/>
        <v>1374804.9613907768</v>
      </c>
      <c r="J38" s="147">
        <f t="shared" si="8"/>
        <v>0.10021934469772288</v>
      </c>
      <c r="K38" s="129">
        <f t="shared" si="9"/>
        <v>137782.05231776185</v>
      </c>
      <c r="L38" s="131">
        <f t="shared" si="10"/>
        <v>0.36604489974263904</v>
      </c>
      <c r="M38" s="132">
        <f t="shared" si="3"/>
        <v>503240.34425796964</v>
      </c>
      <c r="N38" s="3"/>
      <c r="O38" s="155">
        <v>0</v>
      </c>
      <c r="P38" s="160">
        <f t="shared" si="17"/>
        <v>9240</v>
      </c>
      <c r="Q38" s="160"/>
      <c r="R38" s="164">
        <f t="shared" si="4"/>
        <v>9240</v>
      </c>
      <c r="S38" s="165">
        <f t="shared" si="11"/>
        <v>0.10021934469772288</v>
      </c>
      <c r="T38" s="158">
        <f t="shared" si="12"/>
        <v>926.02674500695946</v>
      </c>
      <c r="U38" s="131">
        <f t="shared" si="13"/>
        <v>0.36604489974263904</v>
      </c>
      <c r="V38" s="158">
        <f t="shared" si="14"/>
        <v>3382.2548736219846</v>
      </c>
      <c r="W38" s="159">
        <f t="shared" si="2"/>
        <v>1371422.7065171548</v>
      </c>
    </row>
    <row r="39" spans="1:23" x14ac:dyDescent="0.25">
      <c r="A39" s="123">
        <f t="shared" si="0"/>
        <v>2051</v>
      </c>
      <c r="B39" s="124">
        <f t="shared" si="5"/>
        <v>33</v>
      </c>
      <c r="C39" s="127">
        <f>'Value of Travel Time'!C39</f>
        <v>66586.605651262769</v>
      </c>
      <c r="D39" s="128">
        <f t="shared" si="6"/>
        <v>132.11628105409272</v>
      </c>
      <c r="E39" s="129">
        <f>'Value of Travel Time'!H39</f>
        <v>4028.2724427353428</v>
      </c>
      <c r="F39" s="129">
        <f>'Work Zone Savings'!K39</f>
        <v>37280.022701161237</v>
      </c>
      <c r="G39" s="129">
        <f>'Value of Life-Crash cost'!Q37</f>
        <v>1336048.6103134307</v>
      </c>
      <c r="H39" s="130">
        <v>15000</v>
      </c>
      <c r="I39" s="143">
        <f t="shared" si="7"/>
        <v>1392356.9054573271</v>
      </c>
      <c r="J39" s="147">
        <f t="shared" si="8"/>
        <v>9.366293896983445E-2</v>
      </c>
      <c r="K39" s="129">
        <f t="shared" si="9"/>
        <v>130412.23986007718</v>
      </c>
      <c r="L39" s="131">
        <f t="shared" si="10"/>
        <v>0.35538339780838735</v>
      </c>
      <c r="M39" s="132">
        <f t="shared" si="3"/>
        <v>494820.52802339644</v>
      </c>
      <c r="N39" s="3"/>
      <c r="O39" s="155">
        <v>0</v>
      </c>
      <c r="P39" s="160">
        <f t="shared" si="17"/>
        <v>9240</v>
      </c>
      <c r="Q39" s="160"/>
      <c r="R39" s="164">
        <f t="shared" si="4"/>
        <v>9240</v>
      </c>
      <c r="S39" s="165">
        <f t="shared" si="11"/>
        <v>9.366293896983445E-2</v>
      </c>
      <c r="T39" s="158">
        <f t="shared" si="12"/>
        <v>865.4455560812703</v>
      </c>
      <c r="U39" s="131">
        <f t="shared" si="13"/>
        <v>0.35538339780838735</v>
      </c>
      <c r="V39" s="158">
        <f t="shared" si="14"/>
        <v>3283.7425957494993</v>
      </c>
      <c r="W39" s="159">
        <f t="shared" ref="W39:W61" si="18">I39-V39</f>
        <v>1389073.1628615777</v>
      </c>
    </row>
    <row r="40" spans="1:23" x14ac:dyDescent="0.25">
      <c r="A40" s="123">
        <f t="shared" si="0"/>
        <v>2052</v>
      </c>
      <c r="B40" s="124">
        <f t="shared" si="5"/>
        <v>34</v>
      </c>
      <c r="C40" s="127">
        <f>'Value of Travel Time'!C40</f>
        <v>66845.091708158172</v>
      </c>
      <c r="D40" s="128">
        <f t="shared" si="6"/>
        <v>132.62915021459958</v>
      </c>
      <c r="E40" s="129">
        <f>'Value of Travel Time'!H40</f>
        <v>4043.9100060206183</v>
      </c>
      <c r="F40" s="129">
        <f>'Work Zone Savings'!K40</f>
        <v>37798.989407669622</v>
      </c>
      <c r="G40" s="129">
        <f>'Value of Life-Crash cost'!Q38</f>
        <v>1353072.5212586338</v>
      </c>
      <c r="H40" s="130">
        <v>15000</v>
      </c>
      <c r="I40" s="143">
        <f t="shared" si="7"/>
        <v>1409915.420672324</v>
      </c>
      <c r="J40" s="147">
        <f t="shared" si="8"/>
        <v>8.7535456981153698E-2</v>
      </c>
      <c r="K40" s="129">
        <f t="shared" si="9"/>
        <v>123417.59065332744</v>
      </c>
      <c r="L40" s="131">
        <f t="shared" si="10"/>
        <v>0.34503242505668674</v>
      </c>
      <c r="M40" s="132">
        <f t="shared" si="3"/>
        <v>486466.5367193906</v>
      </c>
      <c r="N40" s="3"/>
      <c r="O40" s="155">
        <v>0</v>
      </c>
      <c r="P40" s="160">
        <f t="shared" si="17"/>
        <v>9240</v>
      </c>
      <c r="Q40" s="160"/>
      <c r="R40" s="164">
        <f t="shared" si="4"/>
        <v>9240</v>
      </c>
      <c r="S40" s="165">
        <f t="shared" si="11"/>
        <v>8.7535456981153698E-2</v>
      </c>
      <c r="T40" s="158">
        <f t="shared" si="12"/>
        <v>808.82762250586018</v>
      </c>
      <c r="U40" s="131">
        <f t="shared" si="13"/>
        <v>0.34503242505668674</v>
      </c>
      <c r="V40" s="158">
        <f t="shared" si="14"/>
        <v>3188.0996075237854</v>
      </c>
      <c r="W40" s="159">
        <f t="shared" si="18"/>
        <v>1406727.3210648003</v>
      </c>
    </row>
    <row r="41" spans="1:23" x14ac:dyDescent="0.25">
      <c r="A41" s="123">
        <f t="shared" si="0"/>
        <v>2053</v>
      </c>
      <c r="B41" s="124">
        <f t="shared" si="5"/>
        <v>35</v>
      </c>
      <c r="C41" s="127">
        <f>'Value of Travel Time'!C41</f>
        <v>67103.577765053575</v>
      </c>
      <c r="D41" s="128">
        <f t="shared" si="6"/>
        <v>133.14201937510643</v>
      </c>
      <c r="E41" s="129">
        <f>'Value of Travel Time'!H41</f>
        <v>4059.5475693058929</v>
      </c>
      <c r="F41" s="129">
        <f>'Work Zone Savings'!K41</f>
        <v>38324.607446038048</v>
      </c>
      <c r="G41" s="129">
        <f>'Value of Life-Crash cost'!Q39</f>
        <v>1370096.4322038372</v>
      </c>
      <c r="H41" s="130">
        <v>15000</v>
      </c>
      <c r="I41" s="143">
        <f t="shared" si="7"/>
        <v>1427480.5872191812</v>
      </c>
      <c r="J41" s="147">
        <f t="shared" si="8"/>
        <v>8.1808838300143641E-2</v>
      </c>
      <c r="K41" s="129">
        <f t="shared" si="9"/>
        <v>116780.52853640809</v>
      </c>
      <c r="L41" s="131">
        <f t="shared" si="10"/>
        <v>0.33498293694823961</v>
      </c>
      <c r="M41" s="132">
        <f t="shared" si="3"/>
        <v>478181.63954327902</v>
      </c>
      <c r="N41" s="3"/>
      <c r="O41" s="155">
        <v>0</v>
      </c>
      <c r="P41" s="160">
        <f>92400*(0.1+1.6)</f>
        <v>157080.00000000003</v>
      </c>
      <c r="Q41" s="160"/>
      <c r="R41" s="164">
        <f t="shared" si="4"/>
        <v>157080.00000000003</v>
      </c>
      <c r="S41" s="165">
        <f t="shared" si="11"/>
        <v>8.1808838300143641E-2</v>
      </c>
      <c r="T41" s="158">
        <f t="shared" si="12"/>
        <v>12850.532320186565</v>
      </c>
      <c r="U41" s="131">
        <f t="shared" si="13"/>
        <v>0.33498293694823961</v>
      </c>
      <c r="V41" s="158">
        <f t="shared" si="14"/>
        <v>52619.119735829488</v>
      </c>
      <c r="W41" s="159">
        <f t="shared" si="18"/>
        <v>1374861.4674833517</v>
      </c>
    </row>
    <row r="42" spans="1:23" x14ac:dyDescent="0.25">
      <c r="A42" s="123">
        <f t="shared" si="0"/>
        <v>2054</v>
      </c>
      <c r="B42" s="124">
        <f t="shared" si="5"/>
        <v>36</v>
      </c>
      <c r="C42" s="127">
        <f>'Value of Travel Time'!C42</f>
        <v>67362.063821948948</v>
      </c>
      <c r="D42" s="128">
        <f t="shared" si="6"/>
        <v>133.65488853561305</v>
      </c>
      <c r="E42" s="129">
        <f>'Value of Travel Time'!H42</f>
        <v>4075.1851325911607</v>
      </c>
      <c r="F42" s="129">
        <f>'Work Zone Savings'!K42</f>
        <v>38856.957946233058</v>
      </c>
      <c r="G42" s="129">
        <f>'Value of Life-Crash cost'!Q40</f>
        <v>1387120.3431490406</v>
      </c>
      <c r="H42" s="130">
        <v>15000</v>
      </c>
      <c r="I42" s="143">
        <f t="shared" si="7"/>
        <v>1445052.4862278649</v>
      </c>
      <c r="J42" s="147">
        <f t="shared" si="8"/>
        <v>7.6456858224433308E-2</v>
      </c>
      <c r="K42" s="129">
        <f t="shared" si="9"/>
        <v>110484.17306638873</v>
      </c>
      <c r="L42" s="131">
        <f t="shared" si="10"/>
        <v>0.3252261523769317</v>
      </c>
      <c r="M42" s="132">
        <f t="shared" si="3"/>
        <v>469968.86007860757</v>
      </c>
      <c r="N42" s="3"/>
      <c r="O42" s="155">
        <v>0</v>
      </c>
      <c r="P42" s="160">
        <f t="shared" si="17"/>
        <v>9240</v>
      </c>
      <c r="Q42" s="157"/>
      <c r="R42" s="164">
        <f t="shared" si="4"/>
        <v>9240</v>
      </c>
      <c r="S42" s="165">
        <f t="shared" si="11"/>
        <v>7.6456858224433308E-2</v>
      </c>
      <c r="T42" s="158">
        <f t="shared" si="12"/>
        <v>706.46136999376381</v>
      </c>
      <c r="U42" s="131">
        <f t="shared" si="13"/>
        <v>0.3252261523769317</v>
      </c>
      <c r="V42" s="158">
        <f t="shared" si="14"/>
        <v>3005.0896479628491</v>
      </c>
      <c r="W42" s="159">
        <f t="shared" si="18"/>
        <v>1442047.3965799019</v>
      </c>
    </row>
    <row r="43" spans="1:23" x14ac:dyDescent="0.25">
      <c r="A43" s="123">
        <f t="shared" si="0"/>
        <v>2055</v>
      </c>
      <c r="B43" s="124">
        <f t="shared" si="5"/>
        <v>37</v>
      </c>
      <c r="C43" s="127">
        <f>'Value of Travel Time'!C43</f>
        <v>67620.549878844366</v>
      </c>
      <c r="D43" s="128">
        <f t="shared" si="6"/>
        <v>134.16775769611991</v>
      </c>
      <c r="E43" s="129">
        <f>'Value of Travel Time'!H43</f>
        <v>4090.8226958764358</v>
      </c>
      <c r="F43" s="129">
        <f>'Work Zone Savings'!K43</f>
        <v>39396.122995687379</v>
      </c>
      <c r="G43" s="129">
        <f>'Value of Life-Crash cost'!Q41</f>
        <v>1404144.254094244</v>
      </c>
      <c r="H43" s="130">
        <v>15000</v>
      </c>
      <c r="I43" s="143">
        <f t="shared" si="7"/>
        <v>1462631.1997858079</v>
      </c>
      <c r="J43" s="147">
        <f t="shared" si="8"/>
        <v>7.1455007686386268E-2</v>
      </c>
      <c r="K43" s="129">
        <f t="shared" si="9"/>
        <v>104512.32362304327</v>
      </c>
      <c r="L43" s="131">
        <f t="shared" si="10"/>
        <v>0.31575354599702099</v>
      </c>
      <c r="M43" s="132">
        <f t="shared" si="3"/>
        <v>461830.98781824607</v>
      </c>
      <c r="N43" s="3"/>
      <c r="O43" s="155">
        <v>0</v>
      </c>
      <c r="P43" s="160">
        <f t="shared" si="17"/>
        <v>9240</v>
      </c>
      <c r="Q43" s="160"/>
      <c r="R43" s="164">
        <f t="shared" si="4"/>
        <v>9240</v>
      </c>
      <c r="S43" s="165">
        <f t="shared" si="11"/>
        <v>7.1455007686386268E-2</v>
      </c>
      <c r="T43" s="158">
        <f t="shared" si="12"/>
        <v>660.24427102220909</v>
      </c>
      <c r="U43" s="131">
        <f t="shared" si="13"/>
        <v>0.31575354599702099</v>
      </c>
      <c r="V43" s="158">
        <f t="shared" si="14"/>
        <v>2917.5627650124738</v>
      </c>
      <c r="W43" s="159">
        <f t="shared" si="18"/>
        <v>1459713.6370207954</v>
      </c>
    </row>
    <row r="44" spans="1:23" x14ac:dyDescent="0.25">
      <c r="A44" s="123">
        <f t="shared" si="0"/>
        <v>2056</v>
      </c>
      <c r="B44" s="124">
        <f t="shared" si="5"/>
        <v>38</v>
      </c>
      <c r="C44" s="127">
        <f>'Value of Travel Time'!C44</f>
        <v>67879.035935739754</v>
      </c>
      <c r="D44" s="128">
        <f t="shared" si="6"/>
        <v>134.68062685662653</v>
      </c>
      <c r="E44" s="129">
        <f>'Value of Travel Time'!H44</f>
        <v>4106.4602591617049</v>
      </c>
      <c r="F44" s="129">
        <f>'Work Zone Savings'!K44</f>
        <v>39942.185650336163</v>
      </c>
      <c r="G44" s="129">
        <f>'Value of Life-Crash cost'!Q42</f>
        <v>1421168.1650394474</v>
      </c>
      <c r="H44" s="130">
        <v>15000</v>
      </c>
      <c r="I44" s="143">
        <f t="shared" si="7"/>
        <v>1480216.8109489453</v>
      </c>
      <c r="J44" s="147">
        <f t="shared" si="8"/>
        <v>6.6780381015314264E-2</v>
      </c>
      <c r="K44" s="129">
        <f t="shared" si="9"/>
        <v>98849.442620443966</v>
      </c>
      <c r="L44" s="131">
        <f t="shared" si="10"/>
        <v>0.30655684077380685</v>
      </c>
      <c r="M44" s="132">
        <f t="shared" si="3"/>
        <v>453770.58922478801</v>
      </c>
      <c r="N44" s="3"/>
      <c r="O44" s="155">
        <v>0</v>
      </c>
      <c r="P44" s="160">
        <f t="shared" si="17"/>
        <v>9240</v>
      </c>
      <c r="Q44" s="160"/>
      <c r="R44" s="164">
        <f t="shared" si="4"/>
        <v>9240</v>
      </c>
      <c r="S44" s="165">
        <f t="shared" si="11"/>
        <v>6.6780381015314264E-2</v>
      </c>
      <c r="T44" s="158">
        <f t="shared" si="12"/>
        <v>617.05072058150381</v>
      </c>
      <c r="U44" s="131">
        <f t="shared" si="13"/>
        <v>0.30655684077380685</v>
      </c>
      <c r="V44" s="158">
        <f t="shared" si="14"/>
        <v>2832.5852087499752</v>
      </c>
      <c r="W44" s="159">
        <f t="shared" si="18"/>
        <v>1477384.2257401955</v>
      </c>
    </row>
    <row r="45" spans="1:23" x14ac:dyDescent="0.25">
      <c r="A45" s="123">
        <f t="shared" si="0"/>
        <v>2057</v>
      </c>
      <c r="B45" s="124">
        <f t="shared" si="5"/>
        <v>39</v>
      </c>
      <c r="C45" s="127">
        <f>'Value of Travel Time'!C45</f>
        <v>68137.521992635156</v>
      </c>
      <c r="D45" s="128">
        <f t="shared" si="6"/>
        <v>135.19349601713338</v>
      </c>
      <c r="E45" s="129">
        <f>'Value of Travel Time'!H45</f>
        <v>4122.09782244698</v>
      </c>
      <c r="F45" s="129">
        <f>'Work Zone Savings'!K45</f>
        <v>40495.229945778345</v>
      </c>
      <c r="G45" s="129">
        <f>'Value of Life-Crash cost'!Q43</f>
        <v>1438192.0759846508</v>
      </c>
      <c r="H45" s="130">
        <v>15000</v>
      </c>
      <c r="I45" s="143">
        <f t="shared" si="7"/>
        <v>1497809.403752876</v>
      </c>
      <c r="J45" s="147">
        <f t="shared" si="8"/>
        <v>6.2411571042349782E-2</v>
      </c>
      <c r="K45" s="129">
        <f t="shared" si="9"/>
        <v>93480.638010222188</v>
      </c>
      <c r="L45" s="131">
        <f t="shared" si="10"/>
        <v>0.29762800075126877</v>
      </c>
      <c r="M45" s="132">
        <f t="shared" si="3"/>
        <v>445790.01834541839</v>
      </c>
      <c r="N45" s="3"/>
      <c r="O45" s="155">
        <v>0</v>
      </c>
      <c r="P45" s="160">
        <f t="shared" si="17"/>
        <v>9240</v>
      </c>
      <c r="Q45" s="160"/>
      <c r="R45" s="164">
        <f t="shared" si="4"/>
        <v>9240</v>
      </c>
      <c r="S45" s="165">
        <f t="shared" si="11"/>
        <v>6.2411571042349782E-2</v>
      </c>
      <c r="T45" s="158">
        <f t="shared" si="12"/>
        <v>576.68291643131204</v>
      </c>
      <c r="U45" s="131">
        <f t="shared" si="13"/>
        <v>0.29762800075126877</v>
      </c>
      <c r="V45" s="158">
        <f t="shared" si="14"/>
        <v>2750.0827269417236</v>
      </c>
      <c r="W45" s="159">
        <f t="shared" si="18"/>
        <v>1495059.3210259343</v>
      </c>
    </row>
    <row r="46" spans="1:23" x14ac:dyDescent="0.25">
      <c r="A46" s="123">
        <f t="shared" si="0"/>
        <v>2058</v>
      </c>
      <c r="B46" s="124">
        <f t="shared" si="5"/>
        <v>40</v>
      </c>
      <c r="C46" s="127">
        <f>'Value of Travel Time'!C46</f>
        <v>68396.008049530559</v>
      </c>
      <c r="D46" s="128">
        <f t="shared" si="6"/>
        <v>135.70636517764001</v>
      </c>
      <c r="E46" s="129">
        <f>'Value of Travel Time'!H46</f>
        <v>4137.7353857322478</v>
      </c>
      <c r="F46" s="129">
        <f>'Work Zone Savings'!K46</f>
        <v>41055.340908564343</v>
      </c>
      <c r="G46" s="129">
        <f>'Value of Life-Crash cost'!Q44</f>
        <v>1455215.9869298541</v>
      </c>
      <c r="H46" s="130">
        <v>15000</v>
      </c>
      <c r="I46" s="143">
        <f t="shared" si="7"/>
        <v>1515409.0632241508</v>
      </c>
      <c r="J46" s="147">
        <f t="shared" si="8"/>
        <v>5.8328571067616623E-2</v>
      </c>
      <c r="K46" s="129">
        <f t="shared" si="9"/>
        <v>88391.645240780213</v>
      </c>
      <c r="L46" s="131">
        <f t="shared" si="10"/>
        <v>0.28895922403035801</v>
      </c>
      <c r="M46" s="132">
        <f t="shared" si="3"/>
        <v>437891.42699782236</v>
      </c>
      <c r="N46" s="3"/>
      <c r="O46" s="155">
        <v>0</v>
      </c>
      <c r="P46" s="160">
        <f>93500*(0.1+0.07)</f>
        <v>15895.000000000002</v>
      </c>
      <c r="Q46" s="160"/>
      <c r="R46" s="164">
        <f t="shared" si="4"/>
        <v>15895.000000000002</v>
      </c>
      <c r="S46" s="165">
        <f t="shared" si="11"/>
        <v>5.8328571067616623E-2</v>
      </c>
      <c r="T46" s="158">
        <f t="shared" si="12"/>
        <v>927.13263711976629</v>
      </c>
      <c r="U46" s="131">
        <f t="shared" si="13"/>
        <v>0.28895922403035801</v>
      </c>
      <c r="V46" s="158">
        <f t="shared" si="14"/>
        <v>4593.0068659625413</v>
      </c>
      <c r="W46" s="159">
        <f t="shared" si="18"/>
        <v>1510816.0563581882</v>
      </c>
    </row>
    <row r="47" spans="1:23" x14ac:dyDescent="0.25">
      <c r="A47" s="123">
        <f t="shared" si="0"/>
        <v>2059</v>
      </c>
      <c r="B47" s="124">
        <f t="shared" si="5"/>
        <v>41</v>
      </c>
      <c r="C47" s="127">
        <f>'Value of Travel Time'!C47</f>
        <v>68654.494106425933</v>
      </c>
      <c r="D47" s="128">
        <f t="shared" si="6"/>
        <v>136.21923433814663</v>
      </c>
      <c r="E47" s="129">
        <f>'Value of Travel Time'!H47</f>
        <v>4153.3729490175156</v>
      </c>
      <c r="F47" s="129">
        <f>'Work Zone Savings'!K47</f>
        <v>41622.604567611452</v>
      </c>
      <c r="G47" s="129">
        <f>'Value of Life-Crash cost'!Q45</f>
        <v>1472239.8978750578</v>
      </c>
      <c r="H47" s="130">
        <v>25000</v>
      </c>
      <c r="I47" s="143">
        <f t="shared" si="7"/>
        <v>1543015.8753916868</v>
      </c>
      <c r="J47" s="147">
        <f t="shared" si="8"/>
        <v>5.4512683240763193E-2</v>
      </c>
      <c r="K47" s="129">
        <f t="shared" si="9"/>
        <v>84113.935650695959</v>
      </c>
      <c r="L47" s="131">
        <f t="shared" si="10"/>
        <v>0.28054293595180391</v>
      </c>
      <c r="M47" s="132">
        <f t="shared" si="3"/>
        <v>432882.20390262664</v>
      </c>
      <c r="N47" s="3"/>
      <c r="O47" s="155">
        <v>0</v>
      </c>
      <c r="P47" s="160">
        <f t="shared" si="17"/>
        <v>9240</v>
      </c>
      <c r="Q47" s="157"/>
      <c r="R47" s="164">
        <f t="shared" si="4"/>
        <v>9240</v>
      </c>
      <c r="S47" s="165">
        <f t="shared" si="11"/>
        <v>5.4512683240763193E-2</v>
      </c>
      <c r="T47" s="158">
        <f t="shared" si="12"/>
        <v>503.69719314465192</v>
      </c>
      <c r="U47" s="131">
        <f t="shared" si="13"/>
        <v>0.28054293595180391</v>
      </c>
      <c r="V47" s="158">
        <f t="shared" si="14"/>
        <v>2592.2167281946681</v>
      </c>
      <c r="W47" s="159">
        <f t="shared" si="18"/>
        <v>1540423.6586634922</v>
      </c>
    </row>
    <row r="48" spans="1:23" x14ac:dyDescent="0.25">
      <c r="A48" s="123">
        <f t="shared" si="0"/>
        <v>2060</v>
      </c>
      <c r="B48" s="124">
        <f t="shared" si="5"/>
        <v>42</v>
      </c>
      <c r="C48" s="127">
        <f>'Value of Travel Time'!C48</f>
        <v>68912.98016332135</v>
      </c>
      <c r="D48" s="128">
        <f t="shared" si="6"/>
        <v>136.73210349865349</v>
      </c>
      <c r="E48" s="129">
        <f>'Value of Travel Time'!H48</f>
        <v>4169.0105123027906</v>
      </c>
      <c r="F48" s="129">
        <f>'Work Zone Savings'!K48</f>
        <v>42197.107965748728</v>
      </c>
      <c r="G48" s="129">
        <f>'Value of Life-Crash cost'!Q46</f>
        <v>1489263.8088202609</v>
      </c>
      <c r="H48" s="130">
        <v>15000</v>
      </c>
      <c r="I48" s="143">
        <f t="shared" si="7"/>
        <v>1550629.9272983125</v>
      </c>
      <c r="J48" s="147">
        <f t="shared" si="8"/>
        <v>5.0946432935292711E-2</v>
      </c>
      <c r="K48" s="129">
        <f t="shared" si="9"/>
        <v>78999.06359856129</v>
      </c>
      <c r="L48" s="131">
        <f t="shared" si="10"/>
        <v>0.27237178247747956</v>
      </c>
      <c r="M48" s="132">
        <f t="shared" si="3"/>
        <v>422347.83726116596</v>
      </c>
      <c r="N48" s="3"/>
      <c r="O48" s="155">
        <v>0</v>
      </c>
      <c r="P48" s="160">
        <f t="shared" si="17"/>
        <v>9240</v>
      </c>
      <c r="Q48" s="160"/>
      <c r="R48" s="164">
        <f t="shared" si="4"/>
        <v>9240</v>
      </c>
      <c r="S48" s="165">
        <f t="shared" si="11"/>
        <v>5.0946432935292711E-2</v>
      </c>
      <c r="T48" s="158">
        <f t="shared" si="12"/>
        <v>470.74504032210467</v>
      </c>
      <c r="U48" s="131">
        <f t="shared" si="13"/>
        <v>0.27237178247747956</v>
      </c>
      <c r="V48" s="158">
        <f t="shared" si="14"/>
        <v>2516.715270091911</v>
      </c>
      <c r="W48" s="159">
        <f t="shared" si="18"/>
        <v>1548113.2120282205</v>
      </c>
    </row>
    <row r="49" spans="1:23" x14ac:dyDescent="0.25">
      <c r="A49" s="123">
        <f t="shared" si="0"/>
        <v>2061</v>
      </c>
      <c r="B49" s="124">
        <f t="shared" si="5"/>
        <v>43</v>
      </c>
      <c r="C49" s="127">
        <f>'Value of Travel Time'!C49</f>
        <v>69171.466220216738</v>
      </c>
      <c r="D49" s="128">
        <f t="shared" si="6"/>
        <v>137.24497265916011</v>
      </c>
      <c r="E49" s="129">
        <f>'Value of Travel Time'!H49</f>
        <v>4184.6480755880584</v>
      </c>
      <c r="F49" s="129">
        <f>'Work Zone Savings'!K49</f>
        <v>42778.939171391939</v>
      </c>
      <c r="G49" s="129">
        <f>'Value of Life-Crash cost'!Q47</f>
        <v>1506287.7197654643</v>
      </c>
      <c r="H49" s="130">
        <v>15000</v>
      </c>
      <c r="I49" s="143">
        <f t="shared" si="7"/>
        <v>1568251.3070124444</v>
      </c>
      <c r="J49" s="147">
        <f t="shared" si="8"/>
        <v>4.761348872457262E-2</v>
      </c>
      <c r="K49" s="129">
        <f t="shared" si="9"/>
        <v>74669.915923733293</v>
      </c>
      <c r="L49" s="131">
        <f t="shared" si="10"/>
        <v>0.26443862376454325</v>
      </c>
      <c r="M49" s="132">
        <f t="shared" si="3"/>
        <v>414706.217343317</v>
      </c>
      <c r="N49" s="3"/>
      <c r="O49" s="155">
        <v>0</v>
      </c>
      <c r="P49" s="160">
        <f t="shared" si="17"/>
        <v>9240</v>
      </c>
      <c r="Q49" s="160"/>
      <c r="R49" s="164">
        <f t="shared" si="4"/>
        <v>9240</v>
      </c>
      <c r="S49" s="165">
        <f t="shared" si="11"/>
        <v>4.761348872457262E-2</v>
      </c>
      <c r="T49" s="158">
        <f t="shared" si="12"/>
        <v>439.94863581505098</v>
      </c>
      <c r="U49" s="131">
        <f t="shared" si="13"/>
        <v>0.26443862376454325</v>
      </c>
      <c r="V49" s="158">
        <f t="shared" si="14"/>
        <v>2443.4128835843794</v>
      </c>
      <c r="W49" s="159">
        <f t="shared" si="18"/>
        <v>1565807.89412886</v>
      </c>
    </row>
    <row r="50" spans="1:23" x14ac:dyDescent="0.25">
      <c r="A50" s="123">
        <f t="shared" si="0"/>
        <v>2062</v>
      </c>
      <c r="B50" s="124">
        <f t="shared" si="5"/>
        <v>44</v>
      </c>
      <c r="C50" s="127">
        <f>'Value of Travel Time'!C50</f>
        <v>69429.952277112141</v>
      </c>
      <c r="D50" s="128">
        <f t="shared" si="6"/>
        <v>137.75784181966696</v>
      </c>
      <c r="E50" s="129">
        <f>'Value of Travel Time'!H50</f>
        <v>4200.2856388733326</v>
      </c>
      <c r="F50" s="129">
        <f>'Work Zone Savings'!K50</f>
        <v>43368.187290351438</v>
      </c>
      <c r="G50" s="129">
        <f>'Value of Life-Crash cost'!Q48</f>
        <v>1523311.6307106677</v>
      </c>
      <c r="H50" s="130">
        <v>15000</v>
      </c>
      <c r="I50" s="143">
        <f t="shared" si="7"/>
        <v>1585880.1036398925</v>
      </c>
      <c r="J50" s="147">
        <f t="shared" si="8"/>
        <v>4.4498587593058525E-2</v>
      </c>
      <c r="K50" s="129">
        <f t="shared" si="9"/>
        <v>70569.424703908488</v>
      </c>
      <c r="L50" s="131">
        <f t="shared" si="10"/>
        <v>0.25673652792674101</v>
      </c>
      <c r="M50" s="132">
        <f t="shared" si="3"/>
        <v>407153.35151660617</v>
      </c>
      <c r="N50" s="3"/>
      <c r="O50" s="155">
        <v>0</v>
      </c>
      <c r="P50" s="160">
        <f t="shared" si="17"/>
        <v>9240</v>
      </c>
      <c r="Q50" s="160"/>
      <c r="R50" s="164">
        <f t="shared" si="4"/>
        <v>9240</v>
      </c>
      <c r="S50" s="165">
        <f t="shared" si="11"/>
        <v>4.4498587593058525E-2</v>
      </c>
      <c r="T50" s="158">
        <f t="shared" si="12"/>
        <v>411.16694935986078</v>
      </c>
      <c r="U50" s="131">
        <f t="shared" si="13"/>
        <v>0.25673652792674101</v>
      </c>
      <c r="V50" s="158">
        <f t="shared" si="14"/>
        <v>2372.245518043087</v>
      </c>
      <c r="W50" s="159">
        <f t="shared" si="18"/>
        <v>1583507.8581218494</v>
      </c>
    </row>
    <row r="51" spans="1:23" x14ac:dyDescent="0.25">
      <c r="A51" s="123">
        <f t="shared" si="0"/>
        <v>2063</v>
      </c>
      <c r="B51" s="124">
        <f t="shared" si="5"/>
        <v>45</v>
      </c>
      <c r="C51" s="127">
        <f>'Value of Travel Time'!C51</f>
        <v>69688.438334007544</v>
      </c>
      <c r="D51" s="128">
        <f t="shared" si="6"/>
        <v>138.27071098017359</v>
      </c>
      <c r="E51" s="129">
        <f>'Value of Travel Time'!H51</f>
        <v>4215.9232021586022</v>
      </c>
      <c r="F51" s="129">
        <f>'Work Zone Savings'!K51</f>
        <v>43529.646017597013</v>
      </c>
      <c r="G51" s="129">
        <f>'Value of Life-Crash cost'!Q49</f>
        <v>1540335.5416558711</v>
      </c>
      <c r="H51" s="130">
        <v>15000</v>
      </c>
      <c r="I51" s="143">
        <f t="shared" si="7"/>
        <v>1603081.1108756268</v>
      </c>
      <c r="J51" s="147">
        <f t="shared" si="8"/>
        <v>4.1587465040241613E-2</v>
      </c>
      <c r="K51" s="129">
        <f t="shared" si="9"/>
        <v>66668.079655211812</v>
      </c>
      <c r="L51" s="131">
        <f t="shared" si="10"/>
        <v>0.24925876497741845</v>
      </c>
      <c r="M51" s="132">
        <f t="shared" si="3"/>
        <v>399582.01785548672</v>
      </c>
      <c r="N51" s="3"/>
      <c r="O51" s="155">
        <v>0</v>
      </c>
      <c r="P51" s="160">
        <f>92400*(0.1+50)</f>
        <v>4629240</v>
      </c>
      <c r="Q51" s="157"/>
      <c r="R51" s="164">
        <f t="shared" si="4"/>
        <v>4629240</v>
      </c>
      <c r="S51" s="165">
        <f t="shared" si="11"/>
        <v>4.1587465040241613E-2</v>
      </c>
      <c r="T51" s="158">
        <f t="shared" si="12"/>
        <v>192518.35666288808</v>
      </c>
      <c r="U51" s="131">
        <f t="shared" si="13"/>
        <v>0.24925876497741845</v>
      </c>
      <c r="V51" s="158">
        <f t="shared" si="14"/>
        <v>1153878.6451840645</v>
      </c>
      <c r="W51" s="159">
        <f t="shared" si="18"/>
        <v>449202.46569156228</v>
      </c>
    </row>
    <row r="52" spans="1:23" x14ac:dyDescent="0.25">
      <c r="A52" s="123">
        <f t="shared" si="0"/>
        <v>2064</v>
      </c>
      <c r="B52" s="124">
        <f t="shared" si="5"/>
        <v>46</v>
      </c>
      <c r="C52" s="127">
        <f>'Value of Travel Time'!C52</f>
        <v>69946.924390902946</v>
      </c>
      <c r="D52" s="128">
        <f t="shared" si="6"/>
        <v>138.78358014068044</v>
      </c>
      <c r="E52" s="129">
        <f>'Value of Travel Time'!H52</f>
        <v>4231.5607654438763</v>
      </c>
      <c r="F52" s="129">
        <f>'Work Zone Savings'!K52</f>
        <v>43691.104744842611</v>
      </c>
      <c r="G52" s="129">
        <f>'Value of Life-Crash cost'!Q50</f>
        <v>1557359.4526010745</v>
      </c>
      <c r="H52" s="130">
        <v>15000</v>
      </c>
      <c r="I52" s="143">
        <f t="shared" si="7"/>
        <v>1620282.1181113611</v>
      </c>
      <c r="J52" s="147">
        <f t="shared" si="8"/>
        <v>3.8866789757235155E-2</v>
      </c>
      <c r="K52" s="129">
        <f t="shared" si="9"/>
        <v>62975.164432041929</v>
      </c>
      <c r="L52" s="131">
        <f t="shared" si="10"/>
        <v>0.24199880094894996</v>
      </c>
      <c r="M52" s="132">
        <f t="shared" si="3"/>
        <v>392106.32978197432</v>
      </c>
      <c r="N52" s="3"/>
      <c r="O52" s="155">
        <v>0</v>
      </c>
      <c r="P52" s="160">
        <f t="shared" si="17"/>
        <v>9240</v>
      </c>
      <c r="Q52" s="160"/>
      <c r="R52" s="164">
        <f t="shared" si="4"/>
        <v>9240</v>
      </c>
      <c r="S52" s="165">
        <f t="shared" si="11"/>
        <v>3.8866789757235155E-2</v>
      </c>
      <c r="T52" s="158">
        <f t="shared" si="12"/>
        <v>359.12913735685282</v>
      </c>
      <c r="U52" s="131">
        <f t="shared" si="13"/>
        <v>0.24199880094894996</v>
      </c>
      <c r="V52" s="158">
        <f t="shared" si="14"/>
        <v>2236.0689207682976</v>
      </c>
      <c r="W52" s="159">
        <f t="shared" si="18"/>
        <v>1618046.0491905927</v>
      </c>
    </row>
    <row r="53" spans="1:23" x14ac:dyDescent="0.25">
      <c r="A53" s="123">
        <f t="shared" si="0"/>
        <v>2065</v>
      </c>
      <c r="B53" s="124">
        <f t="shared" si="5"/>
        <v>47</v>
      </c>
      <c r="C53" s="127">
        <f>'Value of Travel Time'!C53</f>
        <v>70205.410447798335</v>
      </c>
      <c r="D53" s="128">
        <f t="shared" si="6"/>
        <v>139.29644930118707</v>
      </c>
      <c r="E53" s="129">
        <f>'Value of Travel Time'!H53</f>
        <v>4247.198328729145</v>
      </c>
      <c r="F53" s="129">
        <f>'Work Zone Savings'!K53</f>
        <v>43852.563472088179</v>
      </c>
      <c r="G53" s="129">
        <f>'Value of Life-Crash cost'!Q51</f>
        <v>1574383.3635462779</v>
      </c>
      <c r="H53" s="130">
        <v>15000</v>
      </c>
      <c r="I53" s="143">
        <f t="shared" si="7"/>
        <v>1637483.1253470951</v>
      </c>
      <c r="J53" s="147">
        <f t="shared" si="8"/>
        <v>3.6324102576855283E-2</v>
      </c>
      <c r="K53" s="129">
        <f t="shared" si="9"/>
        <v>59480.105012977459</v>
      </c>
      <c r="L53" s="131">
        <f t="shared" si="10"/>
        <v>0.2349502921834466</v>
      </c>
      <c r="M53" s="132">
        <f t="shared" si="3"/>
        <v>384727.13874576328</v>
      </c>
      <c r="N53" s="3"/>
      <c r="O53" s="155">
        <v>0</v>
      </c>
      <c r="P53" s="160">
        <f t="shared" si="17"/>
        <v>9240</v>
      </c>
      <c r="Q53" s="160"/>
      <c r="R53" s="164">
        <f t="shared" si="4"/>
        <v>9240</v>
      </c>
      <c r="S53" s="165">
        <f t="shared" si="11"/>
        <v>3.6324102576855283E-2</v>
      </c>
      <c r="T53" s="158">
        <f t="shared" si="12"/>
        <v>335.6347078101428</v>
      </c>
      <c r="U53" s="131">
        <f t="shared" si="13"/>
        <v>0.2349502921834466</v>
      </c>
      <c r="V53" s="158">
        <f t="shared" si="14"/>
        <v>2170.9406997750466</v>
      </c>
      <c r="W53" s="159">
        <f t="shared" si="18"/>
        <v>1635312.1846473201</v>
      </c>
    </row>
    <row r="54" spans="1:23" x14ac:dyDescent="0.25">
      <c r="A54" s="123">
        <f t="shared" si="0"/>
        <v>2066</v>
      </c>
      <c r="B54" s="124">
        <f t="shared" si="5"/>
        <v>48</v>
      </c>
      <c r="C54" s="127">
        <f>'Value of Travel Time'!C54</f>
        <v>70463.896504693752</v>
      </c>
      <c r="D54" s="128">
        <f t="shared" si="6"/>
        <v>139.80931846169392</v>
      </c>
      <c r="E54" s="129">
        <f>'Value of Travel Time'!H54</f>
        <v>4262.835892014421</v>
      </c>
      <c r="F54" s="129">
        <f>'Work Zone Savings'!K54</f>
        <v>44014.022199333776</v>
      </c>
      <c r="G54" s="129">
        <f>'Value of Life-Crash cost'!Q52</f>
        <v>1591407.2744914815</v>
      </c>
      <c r="H54" s="130">
        <v>15000</v>
      </c>
      <c r="I54" s="143">
        <f t="shared" si="7"/>
        <v>1654684.1325828298</v>
      </c>
      <c r="J54" s="147">
        <f t="shared" si="8"/>
        <v>3.3947759417621758E-2</v>
      </c>
      <c r="K54" s="129">
        <f t="shared" si="9"/>
        <v>56172.818845078051</v>
      </c>
      <c r="L54" s="131">
        <f t="shared" si="10"/>
        <v>0.22810707978975397</v>
      </c>
      <c r="M54" s="132">
        <f t="shared" si="3"/>
        <v>377445.16545791138</v>
      </c>
      <c r="N54" s="3"/>
      <c r="O54" s="155">
        <v>0</v>
      </c>
      <c r="P54" s="160">
        <f t="shared" si="17"/>
        <v>9240</v>
      </c>
      <c r="Q54" s="157"/>
      <c r="R54" s="164">
        <f t="shared" si="4"/>
        <v>9240</v>
      </c>
      <c r="S54" s="165">
        <f t="shared" si="11"/>
        <v>3.3947759417621758E-2</v>
      </c>
      <c r="T54" s="158">
        <f t="shared" si="12"/>
        <v>313.67729701882502</v>
      </c>
      <c r="U54" s="131">
        <f t="shared" si="13"/>
        <v>0.22810707978975397</v>
      </c>
      <c r="V54" s="158">
        <f t="shared" si="14"/>
        <v>2107.7094172573265</v>
      </c>
      <c r="W54" s="159">
        <f t="shared" si="18"/>
        <v>1652576.4231655726</v>
      </c>
    </row>
    <row r="55" spans="1:23" x14ac:dyDescent="0.25">
      <c r="A55" s="123">
        <f t="shared" si="0"/>
        <v>2067</v>
      </c>
      <c r="B55" s="124">
        <f t="shared" si="5"/>
        <v>49</v>
      </c>
      <c r="C55" s="127">
        <f>'Value of Travel Time'!C55</f>
        <v>70722.382561589155</v>
      </c>
      <c r="D55" s="128">
        <f t="shared" si="6"/>
        <v>140.32218762220054</v>
      </c>
      <c r="E55" s="129">
        <f>'Value of Travel Time'!H55</f>
        <v>4278.4734552996879</v>
      </c>
      <c r="F55" s="129">
        <f>'Work Zone Savings'!K55</f>
        <v>44175.480926579366</v>
      </c>
      <c r="G55" s="129">
        <f>'Value of Life-Crash cost'!Q53</f>
        <v>1608431.1854366846</v>
      </c>
      <c r="H55" s="130">
        <v>15000</v>
      </c>
      <c r="I55" s="143">
        <f t="shared" si="7"/>
        <v>1671885.1398185636</v>
      </c>
      <c r="J55" s="147">
        <f t="shared" si="8"/>
        <v>3.1726877960394168E-2</v>
      </c>
      <c r="K55" s="129">
        <f t="shared" si="9"/>
        <v>53043.695794820109</v>
      </c>
      <c r="L55" s="131">
        <f t="shared" si="10"/>
        <v>0.22146318426189707</v>
      </c>
      <c r="M55" s="132">
        <f t="shared" si="3"/>
        <v>370261.00678436609</v>
      </c>
      <c r="N55" s="3"/>
      <c r="O55" s="155">
        <v>0</v>
      </c>
      <c r="P55" s="160">
        <f t="shared" si="17"/>
        <v>9240</v>
      </c>
      <c r="Q55" s="160"/>
      <c r="R55" s="164">
        <f t="shared" si="4"/>
        <v>9240</v>
      </c>
      <c r="S55" s="165">
        <f t="shared" si="11"/>
        <v>3.1726877960394168E-2</v>
      </c>
      <c r="T55" s="158">
        <f t="shared" si="12"/>
        <v>293.1563523540421</v>
      </c>
      <c r="U55" s="131">
        <f t="shared" si="13"/>
        <v>0.22146318426189707</v>
      </c>
      <c r="V55" s="158">
        <f t="shared" si="14"/>
        <v>2046.319822579929</v>
      </c>
      <c r="W55" s="159">
        <f t="shared" si="18"/>
        <v>1669838.8199959837</v>
      </c>
    </row>
    <row r="56" spans="1:23" x14ac:dyDescent="0.25">
      <c r="A56" s="123">
        <f t="shared" si="0"/>
        <v>2068</v>
      </c>
      <c r="B56" s="124">
        <f t="shared" si="5"/>
        <v>50</v>
      </c>
      <c r="C56" s="127">
        <f>'Value of Travel Time'!C56</f>
        <v>70980.868618484528</v>
      </c>
      <c r="D56" s="128">
        <f t="shared" si="6"/>
        <v>140.8350567827074</v>
      </c>
      <c r="E56" s="129">
        <f>'Value of Travel Time'!H56</f>
        <v>4294.1110185849629</v>
      </c>
      <c r="F56" s="129">
        <f>'Work Zone Savings'!K56</f>
        <v>44336.93965382492</v>
      </c>
      <c r="G56" s="129">
        <f>'Value of Life-Crash cost'!Q54</f>
        <v>1625455.096381888</v>
      </c>
      <c r="H56" s="130">
        <v>15000</v>
      </c>
      <c r="I56" s="143">
        <f t="shared" si="7"/>
        <v>1689086.1470542978</v>
      </c>
      <c r="J56" s="147">
        <f t="shared" si="8"/>
        <v>2.9651287813452491E-2</v>
      </c>
      <c r="K56" s="129">
        <f t="shared" si="9"/>
        <v>50083.579488022522</v>
      </c>
      <c r="L56" s="131">
        <f t="shared" si="10"/>
        <v>0.215012800254269</v>
      </c>
      <c r="M56" s="132">
        <f t="shared" si="3"/>
        <v>363175.14234883856</v>
      </c>
      <c r="N56" s="3"/>
      <c r="O56" s="155">
        <v>0</v>
      </c>
      <c r="P56" s="160">
        <f>92400*(0.1+0.7)</f>
        <v>73920</v>
      </c>
      <c r="Q56" s="160"/>
      <c r="R56" s="164">
        <f t="shared" si="4"/>
        <v>73920</v>
      </c>
      <c r="S56" s="165">
        <f t="shared" si="11"/>
        <v>2.9651287813452491E-2</v>
      </c>
      <c r="T56" s="158">
        <f t="shared" si="12"/>
        <v>2191.8231951704083</v>
      </c>
      <c r="U56" s="131">
        <f t="shared" si="13"/>
        <v>0.215012800254269</v>
      </c>
      <c r="V56" s="158">
        <f t="shared" si="14"/>
        <v>15893.746194795563</v>
      </c>
      <c r="W56" s="159">
        <f t="shared" si="18"/>
        <v>1673192.4008595024</v>
      </c>
    </row>
    <row r="57" spans="1:23" x14ac:dyDescent="0.25">
      <c r="A57" s="123">
        <f>1+A56:A56</f>
        <v>2069</v>
      </c>
      <c r="B57" s="124">
        <f t="shared" si="5"/>
        <v>51</v>
      </c>
      <c r="C57" s="127">
        <f>'Value of Travel Time'!C57</f>
        <v>71239.354675379931</v>
      </c>
      <c r="D57" s="128">
        <f t="shared" si="6"/>
        <v>141.34792594321425</v>
      </c>
      <c r="E57" s="129">
        <f>'Value of Travel Time'!H57</f>
        <v>4309.748581870238</v>
      </c>
      <c r="F57" s="129">
        <f>'Work Zone Savings'!K57</f>
        <v>44498.398381070518</v>
      </c>
      <c r="G57" s="129">
        <f>'Value of Life-Crash cost'!Q55</f>
        <v>1642479.0073270914</v>
      </c>
      <c r="H57" s="130">
        <v>25000</v>
      </c>
      <c r="I57" s="143">
        <f t="shared" si="7"/>
        <v>1716287.1542900321</v>
      </c>
      <c r="J57" s="147">
        <f t="shared" si="8"/>
        <v>2.7711483937806064E-2</v>
      </c>
      <c r="K57" s="129">
        <f t="shared" si="9"/>
        <v>47560.863908771105</v>
      </c>
      <c r="L57" s="131">
        <f t="shared" si="10"/>
        <v>0.20875029150899907</v>
      </c>
      <c r="M57" s="132">
        <f t="shared" si="3"/>
        <v>358275.44377119467</v>
      </c>
      <c r="N57" s="3"/>
      <c r="O57" s="155">
        <v>0</v>
      </c>
      <c r="P57" s="160">
        <f t="shared" si="17"/>
        <v>9240</v>
      </c>
      <c r="Q57" s="160"/>
      <c r="R57" s="164">
        <f t="shared" si="4"/>
        <v>9240</v>
      </c>
      <c r="S57" s="165">
        <f t="shared" si="11"/>
        <v>2.7711483937806064E-2</v>
      </c>
      <c r="T57" s="158">
        <f t="shared" si="12"/>
        <v>256.05411158532803</v>
      </c>
      <c r="U57" s="131">
        <f t="shared" si="13"/>
        <v>0.20875029150899907</v>
      </c>
      <c r="V57" s="158">
        <f t="shared" si="14"/>
        <v>1928.8526935431514</v>
      </c>
      <c r="W57" s="159">
        <f t="shared" si="18"/>
        <v>1714358.301596489</v>
      </c>
    </row>
    <row r="58" spans="1:23" x14ac:dyDescent="0.25">
      <c r="A58" s="123">
        <f>1+A57:A57</f>
        <v>2070</v>
      </c>
      <c r="B58" s="124">
        <f t="shared" si="5"/>
        <v>52</v>
      </c>
      <c r="C58" s="127">
        <f>'Value of Travel Time'!C58</f>
        <v>71497.840732275334</v>
      </c>
      <c r="D58" s="128">
        <f t="shared" ref="D58" si="19">(C58/56)-(C58/63)</f>
        <v>141.86079510372087</v>
      </c>
      <c r="E58" s="129">
        <f>'Value of Travel Time'!H58</f>
        <v>4325.3861451555067</v>
      </c>
      <c r="F58" s="129">
        <f>'Work Zone Savings'!K58</f>
        <v>44659.857108316079</v>
      </c>
      <c r="G58" s="129">
        <f>'Value of Life-Crash cost'!Q56</f>
        <v>1659502.9182722946</v>
      </c>
      <c r="H58" s="130">
        <v>15000</v>
      </c>
      <c r="I58" s="143">
        <f t="shared" ref="I58" si="20">SUM(E58:H58)</f>
        <v>1723488.1615257661</v>
      </c>
      <c r="J58" s="147">
        <f t="shared" ref="J58" si="21">1/(1+0.07)^(A58-$A$4)</f>
        <v>2.5898583119444922E-2</v>
      </c>
      <c r="K58" s="129">
        <f t="shared" ref="K58" si="22">J58*I58</f>
        <v>44635.901406654368</v>
      </c>
      <c r="L58" s="131">
        <f t="shared" ref="L58" si="23">1/(1+0.03)^(A58-$A$4)</f>
        <v>0.20267018593106703</v>
      </c>
      <c r="M58" s="132">
        <f t="shared" ref="M58" si="24">L58*I58</f>
        <v>349299.66614641988</v>
      </c>
      <c r="N58" s="3"/>
      <c r="O58" s="161">
        <f>-(25/75*V71)</f>
        <v>0</v>
      </c>
      <c r="P58" s="160">
        <f t="shared" si="17"/>
        <v>9240</v>
      </c>
      <c r="Q58" s="160"/>
      <c r="R58" s="164">
        <f t="shared" ref="R58" si="25">SUM(O58:Q58)</f>
        <v>9240</v>
      </c>
      <c r="S58" s="165">
        <f t="shared" ref="S58" si="26">1/(1+0.07)^(A58-$A$4)</f>
        <v>2.5898583119444922E-2</v>
      </c>
      <c r="T58" s="158">
        <f t="shared" ref="T58" si="27">S58*R58</f>
        <v>239.30290802367108</v>
      </c>
      <c r="U58" s="131">
        <f t="shared" ref="U58" si="28">1/(1+0.03)^(A58-$A$4)</f>
        <v>0.20267018593106703</v>
      </c>
      <c r="V58" s="158">
        <f t="shared" ref="V58" si="29">U58*R58</f>
        <v>1872.6725180030594</v>
      </c>
      <c r="W58" s="159">
        <f t="shared" si="18"/>
        <v>1721615.4890077631</v>
      </c>
    </row>
    <row r="59" spans="1:23" x14ac:dyDescent="0.25">
      <c r="A59" s="123">
        <f>1+A58:A58</f>
        <v>2071</v>
      </c>
      <c r="B59" s="124">
        <f t="shared" si="5"/>
        <v>53</v>
      </c>
      <c r="C59" s="127">
        <f>'Value of Travel Time'!C59</f>
        <v>71756.326789170751</v>
      </c>
      <c r="D59" s="128">
        <f t="shared" ref="D59" si="30">(C59/56)-(C59/63)</f>
        <v>142.37366426422773</v>
      </c>
      <c r="E59" s="129">
        <f>'Value of Travel Time'!H59</f>
        <v>4341.0237084407818</v>
      </c>
      <c r="F59" s="129">
        <f>'Work Zone Savings'!K59</f>
        <v>44821.315835561691</v>
      </c>
      <c r="G59" s="129">
        <f>'Value of Life-Crash cost'!Q57</f>
        <v>1676526.8292174982</v>
      </c>
      <c r="H59" s="130">
        <v>15000</v>
      </c>
      <c r="I59" s="143">
        <f t="shared" ref="I59" si="31">SUM(E59:H59)</f>
        <v>1740689.1687615006</v>
      </c>
      <c r="J59" s="147">
        <f t="shared" ref="J59" si="32">1/(1+0.07)^(A59-$A$4)</f>
        <v>2.4204283289200861E-2</v>
      </c>
      <c r="K59" s="129">
        <f t="shared" ref="K59" si="33">J59*I59</f>
        <v>42132.133759146927</v>
      </c>
      <c r="L59" s="131">
        <f t="shared" ref="L59" si="34">1/(1+0.03)^(A59-$A$4)</f>
        <v>0.19676717080686118</v>
      </c>
      <c r="M59" s="132">
        <f t="shared" ref="M59" si="35">L59*I59</f>
        <v>342510.48299134738</v>
      </c>
      <c r="N59" s="3"/>
      <c r="O59" s="161">
        <v>0</v>
      </c>
      <c r="P59" s="160">
        <f t="shared" si="17"/>
        <v>9240</v>
      </c>
      <c r="Q59" s="157"/>
      <c r="R59" s="164">
        <f t="shared" ref="R59" si="36">SUM(O59:Q59)</f>
        <v>9240</v>
      </c>
      <c r="S59" s="165">
        <f t="shared" ref="S59" si="37">1/(1+0.07)^(A59-$A$4)</f>
        <v>2.4204283289200861E-2</v>
      </c>
      <c r="T59" s="158">
        <f t="shared" ref="T59" si="38">S59*R59</f>
        <v>223.64757759221595</v>
      </c>
      <c r="U59" s="131">
        <f t="shared" ref="U59" si="39">1/(1+0.03)^(A59-$A$4)</f>
        <v>0.19676717080686118</v>
      </c>
      <c r="V59" s="158">
        <f t="shared" ref="V59" si="40">U59*R59</f>
        <v>1818.1286582553973</v>
      </c>
      <c r="W59" s="159">
        <f t="shared" si="18"/>
        <v>1738871.0401032453</v>
      </c>
    </row>
    <row r="60" spans="1:23" x14ac:dyDescent="0.25">
      <c r="A60" s="123">
        <f>1+A59:A59</f>
        <v>2072</v>
      </c>
      <c r="B60" s="124">
        <f t="shared" si="5"/>
        <v>54</v>
      </c>
      <c r="C60" s="127">
        <f>'Value of Travel Time'!C60</f>
        <v>72014.812846066139</v>
      </c>
      <c r="D60" s="128">
        <f t="shared" ref="D60" si="41">(C60/56)-(C60/63)</f>
        <v>142.88653342473435</v>
      </c>
      <c r="E60" s="129">
        <f>'Value of Travel Time'!H60</f>
        <v>4356.6612717260496</v>
      </c>
      <c r="F60" s="129">
        <f>'Work Zone Savings'!K60</f>
        <v>44982.774562807281</v>
      </c>
      <c r="G60" s="129">
        <f>'Value of Life-Crash cost'!Q58</f>
        <v>1693550.7401627013</v>
      </c>
      <c r="H60" s="130">
        <v>15000</v>
      </c>
      <c r="I60" s="143">
        <f t="shared" ref="I60" si="42">SUM(E60:H60)</f>
        <v>1757890.1759972346</v>
      </c>
      <c r="J60" s="147">
        <f t="shared" ref="J60" si="43">1/(1+0.07)^(A60-$A$4)</f>
        <v>2.262082550392604E-2</v>
      </c>
      <c r="K60" s="129">
        <f t="shared" ref="K60" si="44">J60*I60</f>
        <v>39764.926926299282</v>
      </c>
      <c r="L60" s="131">
        <f t="shared" ref="L60" si="45">1/(1+0.03)^(A60-$A$4)</f>
        <v>0.19103608816200118</v>
      </c>
      <c r="M60" s="132">
        <f t="shared" ref="M60" si="46">L60*I60</f>
        <v>335820.46264092351</v>
      </c>
      <c r="N60" s="3"/>
      <c r="O60" s="161">
        <f>-(25/75*P89)</f>
        <v>0</v>
      </c>
      <c r="P60" s="160">
        <f t="shared" si="17"/>
        <v>9240</v>
      </c>
      <c r="Q60" s="160"/>
      <c r="R60" s="164">
        <f t="shared" ref="R60" si="47">SUM(O60:Q60)</f>
        <v>9240</v>
      </c>
      <c r="S60" s="165">
        <f t="shared" ref="S60" si="48">1/(1+0.07)^(A60-$A$4)</f>
        <v>2.262082550392604E-2</v>
      </c>
      <c r="T60" s="158">
        <f t="shared" ref="T60" si="49">S60*R60</f>
        <v>209.01642765627662</v>
      </c>
      <c r="U60" s="131">
        <f t="shared" ref="U60" si="50">1/(1+0.03)^(A60-$A$4)</f>
        <v>0.19103608816200118</v>
      </c>
      <c r="V60" s="158">
        <f t="shared" ref="V60" si="51">U60*R60</f>
        <v>1765.1734546168909</v>
      </c>
      <c r="W60" s="159">
        <f t="shared" si="18"/>
        <v>1756125.0025426177</v>
      </c>
    </row>
    <row r="61" spans="1:23" ht="15.75" thickBot="1" x14ac:dyDescent="0.3">
      <c r="A61" s="133">
        <f>1+A60:A60</f>
        <v>2073</v>
      </c>
      <c r="B61" s="134">
        <f t="shared" si="5"/>
        <v>55</v>
      </c>
      <c r="C61" s="135">
        <f>'Value of Travel Time'!C61</f>
        <v>72273.298902961542</v>
      </c>
      <c r="D61" s="136">
        <f t="shared" ref="D61" si="52">(C61/56)-(C61/63)</f>
        <v>143.39940258524121</v>
      </c>
      <c r="E61" s="137">
        <f>'Value of Travel Time'!H61</f>
        <v>4372.2988350113246</v>
      </c>
      <c r="F61" s="129">
        <f>'Work Zone Savings'!K61</f>
        <v>45144.233290052878</v>
      </c>
      <c r="G61" s="137">
        <f>'Value of Life-Crash cost'!Q59</f>
        <v>1710574.651107905</v>
      </c>
      <c r="H61" s="138">
        <v>15000</v>
      </c>
      <c r="I61" s="144">
        <f t="shared" ref="I61" si="53">SUM(E61:H61)</f>
        <v>1775091.1832329691</v>
      </c>
      <c r="J61" s="148">
        <f t="shared" ref="J61" si="54">1/(1+0.07)^(A61-$A$4)</f>
        <v>2.1140958414884149E-2</v>
      </c>
      <c r="K61" s="137">
        <f t="shared" ref="K61" si="55">J61*I61</f>
        <v>37527.128887355699</v>
      </c>
      <c r="L61" s="139">
        <f t="shared" ref="L61" si="56">1/(1+0.03)^(A61-$A$4)</f>
        <v>0.18547193025437006</v>
      </c>
      <c r="M61" s="140">
        <f t="shared" ref="M61" si="57">L61*I61</f>
        <v>329229.58813173248</v>
      </c>
      <c r="N61" s="3"/>
      <c r="O61" s="166">
        <f>-(25/75*V72)</f>
        <v>-12638000</v>
      </c>
      <c r="P61" s="167">
        <f>92400*(0.1+1.6)</f>
        <v>157080.00000000003</v>
      </c>
      <c r="Q61" s="167"/>
      <c r="R61" s="168">
        <f>SUM(O61:Q61)</f>
        <v>-12480920</v>
      </c>
      <c r="S61" s="169">
        <f t="shared" ref="S61" si="58">1/(1+0.07)^(A61-$A$4)</f>
        <v>2.1140958414884149E-2</v>
      </c>
      <c r="T61" s="170">
        <f t="shared" ref="T61" si="59">S61*R61</f>
        <v>-263858.61069949588</v>
      </c>
      <c r="U61" s="171">
        <f t="shared" ref="U61" si="60">1/(1+0.03)^(A61-$A$4)</f>
        <v>0.18547193025437006</v>
      </c>
      <c r="V61" s="170">
        <f t="shared" ref="V61" si="61">U61*R61</f>
        <v>-2314860.3237503725</v>
      </c>
      <c r="W61" s="172">
        <f t="shared" si="18"/>
        <v>4089951.5069833416</v>
      </c>
    </row>
    <row r="62" spans="1:23" ht="15.75" thickBot="1" x14ac:dyDescent="0.3">
      <c r="A62" s="46"/>
      <c r="B62" s="117"/>
      <c r="C62" s="244" t="s">
        <v>3</v>
      </c>
      <c r="D62" s="244"/>
      <c r="E62" s="68">
        <f>SUM(E11:E61)</f>
        <v>203049.34739685591</v>
      </c>
      <c r="F62" s="68">
        <f>SUM(F11:F61)</f>
        <v>3555703.7303816834</v>
      </c>
      <c r="G62" s="68">
        <f>SUM(G7:G61)</f>
        <v>67212479.344267696</v>
      </c>
      <c r="H62" s="68">
        <f>SUM(H7:H61)</f>
        <v>875000</v>
      </c>
      <c r="I62" s="68">
        <f>SUM(I7:I61)</f>
        <v>71888932.250126123</v>
      </c>
      <c r="J62" s="113"/>
      <c r="K62" s="101">
        <f>SUM(K7:K61)</f>
        <v>12078996.810852671</v>
      </c>
      <c r="L62" s="118"/>
      <c r="M62" s="101">
        <f>SUM(M7:M61)</f>
        <v>29283970.357877076</v>
      </c>
      <c r="N62" s="4"/>
      <c r="O62" s="113">
        <f>SUM(O7:O61)</f>
        <v>25276000</v>
      </c>
      <c r="P62" s="68">
        <f>SUM(P7:P61)</f>
        <v>10294471</v>
      </c>
      <c r="Q62" s="68">
        <f>SUM(Q7:Q61)</f>
        <v>-500000</v>
      </c>
      <c r="R62" s="173">
        <f>SUM(R7:R61)</f>
        <v>35070471</v>
      </c>
      <c r="S62" s="113"/>
      <c r="T62" s="112">
        <f>SUM(T7:T61)</f>
        <v>27790767.82054846</v>
      </c>
      <c r="U62" s="113"/>
      <c r="V62" s="112">
        <f>SUM(V7:V61)</f>
        <v>33700391.326525353</v>
      </c>
      <c r="W62" s="173">
        <f>SUM(W7:W61)</f>
        <v>38188540.923600771</v>
      </c>
    </row>
    <row r="64" spans="1:23" x14ac:dyDescent="0.25">
      <c r="A64" s="89" t="s">
        <v>2</v>
      </c>
      <c r="I64" s="3"/>
      <c r="J64" s="3"/>
      <c r="O64" s="89" t="s">
        <v>2</v>
      </c>
      <c r="S64" s="3"/>
    </row>
    <row r="65" spans="1:23" x14ac:dyDescent="0.25">
      <c r="A65" s="89" t="s">
        <v>102</v>
      </c>
      <c r="O65" s="89" t="s">
        <v>132</v>
      </c>
      <c r="Q65" s="89"/>
      <c r="R65" s="89"/>
      <c r="S65" s="92"/>
      <c r="T65" s="89"/>
      <c r="U65" s="93"/>
      <c r="V65" s="89"/>
      <c r="W65" s="93"/>
    </row>
    <row r="66" spans="1:23" x14ac:dyDescent="0.25">
      <c r="A66" s="89" t="s">
        <v>103</v>
      </c>
      <c r="O66" s="89" t="s">
        <v>71</v>
      </c>
      <c r="Q66" s="89"/>
      <c r="R66" s="89"/>
      <c r="S66" s="92"/>
      <c r="T66" s="89"/>
      <c r="U66" s="93"/>
      <c r="V66" s="89"/>
      <c r="W66" s="93"/>
    </row>
    <row r="67" spans="1:23" x14ac:dyDescent="0.25">
      <c r="A67" s="89" t="s">
        <v>79</v>
      </c>
      <c r="O67" s="89" t="s">
        <v>89</v>
      </c>
      <c r="Q67" s="89"/>
      <c r="R67" s="89"/>
      <c r="S67" s="92"/>
      <c r="T67" s="89"/>
      <c r="U67" s="93"/>
      <c r="V67" s="89"/>
      <c r="W67" s="93"/>
    </row>
    <row r="68" spans="1:23" x14ac:dyDescent="0.25">
      <c r="A68" s="89" t="s">
        <v>128</v>
      </c>
      <c r="O68" s="94" t="s">
        <v>113</v>
      </c>
      <c r="Q68" s="89"/>
      <c r="R68" s="89"/>
      <c r="S68" s="92"/>
      <c r="T68" s="89"/>
      <c r="U68" s="93"/>
      <c r="V68" s="89"/>
      <c r="W68" s="93"/>
    </row>
    <row r="69" spans="1:23" ht="15.75" thickBot="1" x14ac:dyDescent="0.3">
      <c r="A69" s="89" t="s">
        <v>80</v>
      </c>
      <c r="Q69" s="91"/>
      <c r="R69" s="91"/>
      <c r="S69" s="91"/>
      <c r="T69" s="91"/>
      <c r="U69" s="91"/>
      <c r="V69" s="89"/>
      <c r="W69" s="93"/>
    </row>
    <row r="70" spans="1:23" ht="15.75" thickBot="1" x14ac:dyDescent="0.3">
      <c r="O70" s="74"/>
      <c r="P70" s="74" t="s">
        <v>82</v>
      </c>
      <c r="Q70" s="91"/>
      <c r="R70" s="91"/>
      <c r="S70" s="253" t="s">
        <v>107</v>
      </c>
      <c r="T70" s="254"/>
      <c r="U70" s="255"/>
      <c r="V70" s="68">
        <v>35600000</v>
      </c>
    </row>
    <row r="71" spans="1:23" x14ac:dyDescent="0.25">
      <c r="O71" s="73" t="s">
        <v>83</v>
      </c>
      <c r="P71" s="75">
        <f>I62/R62</f>
        <v>2.049842223394323</v>
      </c>
      <c r="S71" s="238" t="s">
        <v>106</v>
      </c>
      <c r="T71" s="239"/>
      <c r="U71" s="240"/>
      <c r="V71" s="69"/>
    </row>
    <row r="72" spans="1:23" ht="15.75" thickBot="1" x14ac:dyDescent="0.3">
      <c r="O72" s="71" t="s">
        <v>84</v>
      </c>
      <c r="P72" s="76">
        <f>K62/T62</f>
        <v>0.43464062917763197</v>
      </c>
      <c r="S72" s="241"/>
      <c r="T72" s="242"/>
      <c r="U72" s="243"/>
      <c r="V72" s="70">
        <f>1.065*V70</f>
        <v>37914000</v>
      </c>
    </row>
    <row r="73" spans="1:23" ht="15.75" thickBot="1" x14ac:dyDescent="0.3">
      <c r="O73" s="72" t="s">
        <v>85</v>
      </c>
      <c r="P73" s="77">
        <f>M62/V62</f>
        <v>0.86895045443664798</v>
      </c>
    </row>
    <row r="86" spans="15:15" ht="15.75" customHeight="1" x14ac:dyDescent="0.25"/>
    <row r="87" spans="15:15" ht="15" customHeight="1" x14ac:dyDescent="0.25"/>
    <row r="88" spans="15:15" ht="15" customHeight="1" x14ac:dyDescent="0.25"/>
    <row r="89" spans="15:15" x14ac:dyDescent="0.25">
      <c r="O89" s="1"/>
    </row>
  </sheetData>
  <mergeCells count="5">
    <mergeCell ref="S71:U72"/>
    <mergeCell ref="C62:D62"/>
    <mergeCell ref="A2:M2"/>
    <mergeCell ref="O2:W2"/>
    <mergeCell ref="S70:U70"/>
  </mergeCells>
  <pageMargins left="0.6" right="0.7" top="0.28999999999999998" bottom="0.19" header="0.3" footer="0.3"/>
  <pageSetup paperSize="17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62"/>
  <sheetViews>
    <sheetView workbookViewId="0">
      <selection activeCell="C8" sqref="C8"/>
    </sheetView>
  </sheetViews>
  <sheetFormatPr defaultRowHeight="15" x14ac:dyDescent="0.25"/>
  <cols>
    <col min="2" max="2" width="12.28515625" customWidth="1"/>
    <col min="3" max="3" width="12.7109375" customWidth="1"/>
    <col min="4" max="4" width="13.28515625" customWidth="1"/>
    <col min="5" max="5" width="15" customWidth="1"/>
    <col min="6" max="6" width="16.140625" customWidth="1"/>
    <col min="7" max="7" width="14.5703125" customWidth="1"/>
  </cols>
  <sheetData>
    <row r="2" spans="1:8" ht="15.75" thickBot="1" x14ac:dyDescent="0.3"/>
    <row r="3" spans="1:8" ht="45" x14ac:dyDescent="0.25">
      <c r="A3" s="116" t="s">
        <v>0</v>
      </c>
      <c r="B3" s="116" t="s">
        <v>53</v>
      </c>
      <c r="C3" s="116" t="s">
        <v>54</v>
      </c>
      <c r="D3" s="116" t="s">
        <v>55</v>
      </c>
      <c r="E3" s="116" t="s">
        <v>56</v>
      </c>
      <c r="F3" s="116" t="s">
        <v>57</v>
      </c>
      <c r="G3" s="116" t="s">
        <v>58</v>
      </c>
    </row>
    <row r="4" spans="1:8" ht="15.75" thickBot="1" x14ac:dyDescent="0.3">
      <c r="A4" s="175"/>
      <c r="B4" s="175"/>
      <c r="C4" s="176">
        <v>0.93989999999999996</v>
      </c>
      <c r="D4" s="176">
        <v>6.0100000000000001E-2</v>
      </c>
      <c r="E4" s="176">
        <v>0.214</v>
      </c>
      <c r="F4" s="176">
        <v>0.78600000000000003</v>
      </c>
      <c r="G4" s="175"/>
    </row>
    <row r="5" spans="1:8" x14ac:dyDescent="0.25">
      <c r="A5" s="145">
        <v>2016</v>
      </c>
      <c r="B5" s="121"/>
      <c r="C5" s="121"/>
      <c r="D5" s="121"/>
      <c r="E5" s="121"/>
      <c r="F5" s="121"/>
      <c r="G5" s="122"/>
    </row>
    <row r="6" spans="1:8" x14ac:dyDescent="0.25">
      <c r="A6" s="146">
        <v>2017</v>
      </c>
      <c r="B6" s="125"/>
      <c r="C6" s="125"/>
      <c r="D6" s="125"/>
      <c r="E6" s="125"/>
      <c r="F6" s="125"/>
      <c r="G6" s="126"/>
    </row>
    <row r="7" spans="1:8" x14ac:dyDescent="0.25">
      <c r="A7" s="146">
        <v>2018</v>
      </c>
      <c r="B7" s="125"/>
      <c r="C7" s="125"/>
      <c r="D7" s="125"/>
      <c r="E7" s="125"/>
      <c r="F7" s="125"/>
      <c r="G7" s="126"/>
    </row>
    <row r="8" spans="1:8" x14ac:dyDescent="0.25">
      <c r="A8" s="146">
        <v>2019</v>
      </c>
      <c r="B8" s="125">
        <v>41389</v>
      </c>
      <c r="C8" s="177">
        <f>B8*$C$4</f>
        <v>38901.521099999998</v>
      </c>
      <c r="D8" s="177">
        <f>B8-C8</f>
        <v>2487.4789000000019</v>
      </c>
      <c r="E8" s="177">
        <f>C8*$E$4</f>
        <v>8324.9255154000002</v>
      </c>
      <c r="F8" s="177">
        <f>C8*$F$4</f>
        <v>30576.5955846</v>
      </c>
      <c r="G8" s="178">
        <f>D8</f>
        <v>2487.4789000000019</v>
      </c>
      <c r="H8" s="2"/>
    </row>
    <row r="9" spans="1:8" x14ac:dyDescent="0.25">
      <c r="A9" s="146">
        <f t="shared" ref="A9:A57" si="0">1+A8:A8</f>
        <v>2020</v>
      </c>
      <c r="B9" s="177">
        <f>B8+183.46</f>
        <v>41572.46</v>
      </c>
      <c r="C9" s="177">
        <f t="shared" ref="C9:C58" si="1">B9*$C$4</f>
        <v>39073.955153999996</v>
      </c>
      <c r="D9" s="177">
        <f t="shared" ref="D9:D58" si="2">B9-C9</f>
        <v>2498.5048460000035</v>
      </c>
      <c r="E9" s="177">
        <f t="shared" ref="E9:E58" si="3">C9*$E$4</f>
        <v>8361.8264029559996</v>
      </c>
      <c r="F9" s="177">
        <f t="shared" ref="F9:F58" si="4">C9*$F$4</f>
        <v>30712.128751043998</v>
      </c>
      <c r="G9" s="178">
        <f t="shared" ref="G9:G58" si="5">D9</f>
        <v>2498.5048460000035</v>
      </c>
    </row>
    <row r="10" spans="1:8" x14ac:dyDescent="0.25">
      <c r="A10" s="146">
        <f t="shared" si="0"/>
        <v>2021</v>
      </c>
      <c r="B10" s="177">
        <f t="shared" ref="B10:B62" si="6">B9+183.46</f>
        <v>41755.919999999998</v>
      </c>
      <c r="C10" s="177">
        <f t="shared" si="1"/>
        <v>39246.389207999993</v>
      </c>
      <c r="D10" s="177">
        <f t="shared" si="2"/>
        <v>2509.530792000005</v>
      </c>
      <c r="E10" s="177">
        <f t="shared" si="3"/>
        <v>8398.7272905119989</v>
      </c>
      <c r="F10" s="177">
        <f t="shared" si="4"/>
        <v>30847.661917487996</v>
      </c>
      <c r="G10" s="178">
        <f t="shared" si="5"/>
        <v>2509.530792000005</v>
      </c>
    </row>
    <row r="11" spans="1:8" x14ac:dyDescent="0.25">
      <c r="A11" s="146">
        <f t="shared" si="0"/>
        <v>2022</v>
      </c>
      <c r="B11" s="177">
        <f t="shared" si="6"/>
        <v>41939.379999999997</v>
      </c>
      <c r="C11" s="177">
        <f t="shared" si="1"/>
        <v>39418.823261999998</v>
      </c>
      <c r="D11" s="177">
        <f t="shared" si="2"/>
        <v>2520.5567379999993</v>
      </c>
      <c r="E11" s="177">
        <f t="shared" si="3"/>
        <v>8435.6281780680001</v>
      </c>
      <c r="F11" s="177">
        <f t="shared" si="4"/>
        <v>30983.195083931998</v>
      </c>
      <c r="G11" s="178">
        <f t="shared" si="5"/>
        <v>2520.5567379999993</v>
      </c>
    </row>
    <row r="12" spans="1:8" x14ac:dyDescent="0.25">
      <c r="A12" s="146">
        <f t="shared" si="0"/>
        <v>2023</v>
      </c>
      <c r="B12" s="177">
        <f t="shared" si="6"/>
        <v>42122.84</v>
      </c>
      <c r="C12" s="177">
        <f t="shared" si="1"/>
        <v>39591.257315999996</v>
      </c>
      <c r="D12" s="177">
        <f t="shared" si="2"/>
        <v>2531.5826840000009</v>
      </c>
      <c r="E12" s="177">
        <f t="shared" si="3"/>
        <v>8472.5290656239995</v>
      </c>
      <c r="F12" s="177">
        <f t="shared" si="4"/>
        <v>31118.728250375996</v>
      </c>
      <c r="G12" s="178">
        <f t="shared" si="5"/>
        <v>2531.5826840000009</v>
      </c>
    </row>
    <row r="13" spans="1:8" x14ac:dyDescent="0.25">
      <c r="A13" s="146">
        <f t="shared" si="0"/>
        <v>2024</v>
      </c>
      <c r="B13" s="177">
        <f t="shared" si="6"/>
        <v>42306.299999999996</v>
      </c>
      <c r="C13" s="177">
        <f t="shared" si="1"/>
        <v>39763.691369999993</v>
      </c>
      <c r="D13" s="177">
        <f t="shared" si="2"/>
        <v>2542.6086300000024</v>
      </c>
      <c r="E13" s="177">
        <f t="shared" si="3"/>
        <v>8509.4299531799988</v>
      </c>
      <c r="F13" s="177">
        <f t="shared" si="4"/>
        <v>31254.261416819994</v>
      </c>
      <c r="G13" s="178">
        <f t="shared" si="5"/>
        <v>2542.6086300000024</v>
      </c>
    </row>
    <row r="14" spans="1:8" x14ac:dyDescent="0.25">
      <c r="A14" s="146">
        <f t="shared" si="0"/>
        <v>2025</v>
      </c>
      <c r="B14" s="177">
        <f t="shared" si="6"/>
        <v>42489.759999999995</v>
      </c>
      <c r="C14" s="177">
        <f t="shared" si="1"/>
        <v>39936.125423999991</v>
      </c>
      <c r="D14" s="177">
        <f t="shared" si="2"/>
        <v>2553.634576000004</v>
      </c>
      <c r="E14" s="177">
        <f t="shared" si="3"/>
        <v>8546.3308407359982</v>
      </c>
      <c r="F14" s="177">
        <f t="shared" si="4"/>
        <v>31389.794583263993</v>
      </c>
      <c r="G14" s="178">
        <f t="shared" si="5"/>
        <v>2553.634576000004</v>
      </c>
    </row>
    <row r="15" spans="1:8" x14ac:dyDescent="0.25">
      <c r="A15" s="146">
        <f t="shared" si="0"/>
        <v>2026</v>
      </c>
      <c r="B15" s="177">
        <f t="shared" si="6"/>
        <v>42673.219999999994</v>
      </c>
      <c r="C15" s="177">
        <f t="shared" si="1"/>
        <v>40108.559477999996</v>
      </c>
      <c r="D15" s="177">
        <f t="shared" si="2"/>
        <v>2564.6605219999983</v>
      </c>
      <c r="E15" s="177">
        <f t="shared" si="3"/>
        <v>8583.2317282919994</v>
      </c>
      <c r="F15" s="177">
        <f t="shared" si="4"/>
        <v>31525.327749707998</v>
      </c>
      <c r="G15" s="178">
        <f t="shared" si="5"/>
        <v>2564.6605219999983</v>
      </c>
    </row>
    <row r="16" spans="1:8" x14ac:dyDescent="0.25">
      <c r="A16" s="146">
        <f t="shared" si="0"/>
        <v>2027</v>
      </c>
      <c r="B16" s="177">
        <f t="shared" si="6"/>
        <v>42856.679999999993</v>
      </c>
      <c r="C16" s="177">
        <f t="shared" si="1"/>
        <v>40280.993531999993</v>
      </c>
      <c r="D16" s="177">
        <f t="shared" si="2"/>
        <v>2575.6864679999999</v>
      </c>
      <c r="E16" s="177">
        <f t="shared" si="3"/>
        <v>8620.1326158479987</v>
      </c>
      <c r="F16" s="177">
        <f t="shared" si="4"/>
        <v>31660.860916151996</v>
      </c>
      <c r="G16" s="178">
        <f t="shared" si="5"/>
        <v>2575.6864679999999</v>
      </c>
    </row>
    <row r="17" spans="1:7" x14ac:dyDescent="0.25">
      <c r="A17" s="146">
        <f t="shared" si="0"/>
        <v>2028</v>
      </c>
      <c r="B17" s="177">
        <f t="shared" si="6"/>
        <v>43040.139999999992</v>
      </c>
      <c r="C17" s="177">
        <f t="shared" si="1"/>
        <v>40453.427585999991</v>
      </c>
      <c r="D17" s="177">
        <f t="shared" si="2"/>
        <v>2586.7124140000014</v>
      </c>
      <c r="E17" s="177">
        <f t="shared" si="3"/>
        <v>8657.0335034039981</v>
      </c>
      <c r="F17" s="177">
        <f t="shared" si="4"/>
        <v>31796.394082595994</v>
      </c>
      <c r="G17" s="178">
        <f t="shared" si="5"/>
        <v>2586.7124140000014</v>
      </c>
    </row>
    <row r="18" spans="1:7" x14ac:dyDescent="0.25">
      <c r="A18" s="146">
        <f t="shared" si="0"/>
        <v>2029</v>
      </c>
      <c r="B18" s="177">
        <f t="shared" si="6"/>
        <v>43223.599999999991</v>
      </c>
      <c r="C18" s="177">
        <f t="shared" si="1"/>
        <v>40625.861639999988</v>
      </c>
      <c r="D18" s="177">
        <f t="shared" si="2"/>
        <v>2597.738360000003</v>
      </c>
      <c r="E18" s="177">
        <f t="shared" si="3"/>
        <v>8693.9343909599975</v>
      </c>
      <c r="F18" s="177">
        <f t="shared" si="4"/>
        <v>31931.927249039993</v>
      </c>
      <c r="G18" s="178">
        <f t="shared" si="5"/>
        <v>2597.738360000003</v>
      </c>
    </row>
    <row r="19" spans="1:7" x14ac:dyDescent="0.25">
      <c r="A19" s="146">
        <f t="shared" si="0"/>
        <v>2030</v>
      </c>
      <c r="B19" s="177">
        <f t="shared" si="6"/>
        <v>43407.05999999999</v>
      </c>
      <c r="C19" s="177">
        <f t="shared" si="1"/>
        <v>40798.295693999986</v>
      </c>
      <c r="D19" s="177">
        <f t="shared" si="2"/>
        <v>2608.7643060000046</v>
      </c>
      <c r="E19" s="177">
        <f t="shared" si="3"/>
        <v>8730.8352785159968</v>
      </c>
      <c r="F19" s="177">
        <f t="shared" si="4"/>
        <v>32067.460415483991</v>
      </c>
      <c r="G19" s="178">
        <f t="shared" si="5"/>
        <v>2608.7643060000046</v>
      </c>
    </row>
    <row r="20" spans="1:7" x14ac:dyDescent="0.25">
      <c r="A20" s="146">
        <f t="shared" si="0"/>
        <v>2031</v>
      </c>
      <c r="B20" s="177">
        <f t="shared" si="6"/>
        <v>43590.51999999999</v>
      </c>
      <c r="C20" s="177">
        <f t="shared" si="1"/>
        <v>40970.729747999991</v>
      </c>
      <c r="D20" s="177">
        <f t="shared" si="2"/>
        <v>2619.7902519999989</v>
      </c>
      <c r="E20" s="177">
        <f t="shared" si="3"/>
        <v>8767.736166071998</v>
      </c>
      <c r="F20" s="177">
        <f t="shared" si="4"/>
        <v>32202.993581927993</v>
      </c>
      <c r="G20" s="178">
        <f t="shared" si="5"/>
        <v>2619.7902519999989</v>
      </c>
    </row>
    <row r="21" spans="1:7" x14ac:dyDescent="0.25">
      <c r="A21" s="146">
        <f t="shared" si="0"/>
        <v>2032</v>
      </c>
      <c r="B21" s="177">
        <f t="shared" si="6"/>
        <v>43773.979999999989</v>
      </c>
      <c r="C21" s="177">
        <f t="shared" si="1"/>
        <v>41143.163801999988</v>
      </c>
      <c r="D21" s="177">
        <f t="shared" si="2"/>
        <v>2630.8161980000004</v>
      </c>
      <c r="E21" s="177">
        <f t="shared" si="3"/>
        <v>8804.6370536279974</v>
      </c>
      <c r="F21" s="177">
        <f t="shared" si="4"/>
        <v>32338.526748371991</v>
      </c>
      <c r="G21" s="178">
        <f t="shared" si="5"/>
        <v>2630.8161980000004</v>
      </c>
    </row>
    <row r="22" spans="1:7" x14ac:dyDescent="0.25">
      <c r="A22" s="146">
        <f t="shared" si="0"/>
        <v>2033</v>
      </c>
      <c r="B22" s="177">
        <f t="shared" si="6"/>
        <v>43957.439999999988</v>
      </c>
      <c r="C22" s="177">
        <f t="shared" si="1"/>
        <v>41315.597855999986</v>
      </c>
      <c r="D22" s="177">
        <f t="shared" si="2"/>
        <v>2641.842144000002</v>
      </c>
      <c r="E22" s="177">
        <f t="shared" si="3"/>
        <v>8841.5379411839967</v>
      </c>
      <c r="F22" s="177">
        <f t="shared" si="4"/>
        <v>32474.059914815989</v>
      </c>
      <c r="G22" s="178">
        <f t="shared" si="5"/>
        <v>2641.842144000002</v>
      </c>
    </row>
    <row r="23" spans="1:7" x14ac:dyDescent="0.25">
      <c r="A23" s="146">
        <f t="shared" si="0"/>
        <v>2034</v>
      </c>
      <c r="B23" s="177">
        <f t="shared" si="6"/>
        <v>44140.899999999987</v>
      </c>
      <c r="C23" s="177">
        <f t="shared" si="1"/>
        <v>41488.031909999983</v>
      </c>
      <c r="D23" s="177">
        <f t="shared" si="2"/>
        <v>2652.8680900000036</v>
      </c>
      <c r="E23" s="177">
        <f t="shared" si="3"/>
        <v>8878.4388287399961</v>
      </c>
      <c r="F23" s="177">
        <f t="shared" si="4"/>
        <v>32609.593081259987</v>
      </c>
      <c r="G23" s="178">
        <f t="shared" si="5"/>
        <v>2652.8680900000036</v>
      </c>
    </row>
    <row r="24" spans="1:7" x14ac:dyDescent="0.25">
      <c r="A24" s="146">
        <f t="shared" si="0"/>
        <v>2035</v>
      </c>
      <c r="B24" s="177">
        <f t="shared" si="6"/>
        <v>44324.359999999986</v>
      </c>
      <c r="C24" s="177">
        <f t="shared" si="1"/>
        <v>41660.465963999988</v>
      </c>
      <c r="D24" s="177">
        <f t="shared" si="2"/>
        <v>2663.8940359999979</v>
      </c>
      <c r="E24" s="177">
        <f t="shared" si="3"/>
        <v>8915.3397162959973</v>
      </c>
      <c r="F24" s="177">
        <f t="shared" si="4"/>
        <v>32745.126247703993</v>
      </c>
      <c r="G24" s="178">
        <f t="shared" si="5"/>
        <v>2663.8940359999979</v>
      </c>
    </row>
    <row r="25" spans="1:7" x14ac:dyDescent="0.25">
      <c r="A25" s="146">
        <f t="shared" si="0"/>
        <v>2036</v>
      </c>
      <c r="B25" s="177">
        <f t="shared" si="6"/>
        <v>44507.819999999985</v>
      </c>
      <c r="C25" s="177">
        <f t="shared" si="1"/>
        <v>41832.900017999986</v>
      </c>
      <c r="D25" s="177">
        <f t="shared" si="2"/>
        <v>2674.9199819999994</v>
      </c>
      <c r="E25" s="177">
        <f t="shared" si="3"/>
        <v>8952.2406038519966</v>
      </c>
      <c r="F25" s="177">
        <f t="shared" si="4"/>
        <v>32880.659414147987</v>
      </c>
      <c r="G25" s="178">
        <f t="shared" si="5"/>
        <v>2674.9199819999994</v>
      </c>
    </row>
    <row r="26" spans="1:7" x14ac:dyDescent="0.25">
      <c r="A26" s="146">
        <f t="shared" si="0"/>
        <v>2037</v>
      </c>
      <c r="B26" s="177">
        <f t="shared" si="6"/>
        <v>44691.279999999984</v>
      </c>
      <c r="C26" s="177">
        <f t="shared" si="1"/>
        <v>42005.334071999983</v>
      </c>
      <c r="D26" s="177">
        <f t="shared" si="2"/>
        <v>2685.945928000001</v>
      </c>
      <c r="E26" s="177">
        <f t="shared" si="3"/>
        <v>8989.141491407996</v>
      </c>
      <c r="F26" s="177">
        <f t="shared" si="4"/>
        <v>33016.192580591989</v>
      </c>
      <c r="G26" s="178">
        <f t="shared" si="5"/>
        <v>2685.945928000001</v>
      </c>
    </row>
    <row r="27" spans="1:7" x14ac:dyDescent="0.25">
      <c r="A27" s="146">
        <f t="shared" si="0"/>
        <v>2038</v>
      </c>
      <c r="B27" s="177">
        <f t="shared" si="6"/>
        <v>44874.739999999983</v>
      </c>
      <c r="C27" s="177">
        <f t="shared" si="1"/>
        <v>42177.768125999981</v>
      </c>
      <c r="D27" s="177">
        <f t="shared" si="2"/>
        <v>2696.9718740000026</v>
      </c>
      <c r="E27" s="177">
        <f t="shared" si="3"/>
        <v>9026.0423789639954</v>
      </c>
      <c r="F27" s="177">
        <f t="shared" si="4"/>
        <v>33151.725747035984</v>
      </c>
      <c r="G27" s="178">
        <f t="shared" si="5"/>
        <v>2696.9718740000026</v>
      </c>
    </row>
    <row r="28" spans="1:7" x14ac:dyDescent="0.25">
      <c r="A28" s="146">
        <f t="shared" si="0"/>
        <v>2039</v>
      </c>
      <c r="B28" s="177">
        <f t="shared" si="6"/>
        <v>45058.199999999983</v>
      </c>
      <c r="C28" s="177">
        <f t="shared" si="1"/>
        <v>42350.202179999978</v>
      </c>
      <c r="D28" s="177">
        <f t="shared" si="2"/>
        <v>2707.9978200000041</v>
      </c>
      <c r="E28" s="177">
        <f t="shared" si="3"/>
        <v>9062.9432665199947</v>
      </c>
      <c r="F28" s="177">
        <f t="shared" si="4"/>
        <v>33287.258913479985</v>
      </c>
      <c r="G28" s="178">
        <f t="shared" si="5"/>
        <v>2707.9978200000041</v>
      </c>
    </row>
    <row r="29" spans="1:7" x14ac:dyDescent="0.25">
      <c r="A29" s="146">
        <f t="shared" si="0"/>
        <v>2040</v>
      </c>
      <c r="B29" s="177">
        <f t="shared" si="6"/>
        <v>45241.659999999982</v>
      </c>
      <c r="C29" s="177">
        <f t="shared" si="1"/>
        <v>42522.636233999983</v>
      </c>
      <c r="D29" s="177">
        <f t="shared" si="2"/>
        <v>2719.0237659999984</v>
      </c>
      <c r="E29" s="177">
        <f t="shared" si="3"/>
        <v>9099.8441540759959</v>
      </c>
      <c r="F29" s="177">
        <f t="shared" si="4"/>
        <v>33422.792079923987</v>
      </c>
      <c r="G29" s="178">
        <f t="shared" si="5"/>
        <v>2719.0237659999984</v>
      </c>
    </row>
    <row r="30" spans="1:7" x14ac:dyDescent="0.25">
      <c r="A30" s="146">
        <f t="shared" si="0"/>
        <v>2041</v>
      </c>
      <c r="B30" s="177">
        <f t="shared" si="6"/>
        <v>45425.119999999981</v>
      </c>
      <c r="C30" s="177">
        <f t="shared" si="1"/>
        <v>42695.070287999981</v>
      </c>
      <c r="D30" s="177">
        <f t="shared" si="2"/>
        <v>2730.049712</v>
      </c>
      <c r="E30" s="177">
        <f t="shared" si="3"/>
        <v>9136.7450416319953</v>
      </c>
      <c r="F30" s="177">
        <f t="shared" si="4"/>
        <v>33558.325246367989</v>
      </c>
      <c r="G30" s="178">
        <f t="shared" si="5"/>
        <v>2730.049712</v>
      </c>
    </row>
    <row r="31" spans="1:7" x14ac:dyDescent="0.25">
      <c r="A31" s="146">
        <f t="shared" si="0"/>
        <v>2042</v>
      </c>
      <c r="B31" s="177">
        <f t="shared" si="6"/>
        <v>45608.57999999998</v>
      </c>
      <c r="C31" s="177">
        <f t="shared" si="1"/>
        <v>42867.504341999978</v>
      </c>
      <c r="D31" s="177">
        <f t="shared" si="2"/>
        <v>2741.0756580000016</v>
      </c>
      <c r="E31" s="177">
        <f t="shared" si="3"/>
        <v>9173.6459291879946</v>
      </c>
      <c r="F31" s="177">
        <f t="shared" si="4"/>
        <v>33693.858412811984</v>
      </c>
      <c r="G31" s="178">
        <f t="shared" si="5"/>
        <v>2741.0756580000016</v>
      </c>
    </row>
    <row r="32" spans="1:7" x14ac:dyDescent="0.25">
      <c r="A32" s="146">
        <f t="shared" si="0"/>
        <v>2043</v>
      </c>
      <c r="B32" s="177">
        <f t="shared" si="6"/>
        <v>45792.039999999979</v>
      </c>
      <c r="C32" s="177">
        <f t="shared" si="1"/>
        <v>43039.938395999976</v>
      </c>
      <c r="D32" s="177">
        <f t="shared" si="2"/>
        <v>2752.1016040000031</v>
      </c>
      <c r="E32" s="177">
        <f t="shared" si="3"/>
        <v>9210.546816743994</v>
      </c>
      <c r="F32" s="177">
        <f t="shared" si="4"/>
        <v>33829.391579255986</v>
      </c>
      <c r="G32" s="178">
        <f t="shared" si="5"/>
        <v>2752.1016040000031</v>
      </c>
    </row>
    <row r="33" spans="1:7" x14ac:dyDescent="0.25">
      <c r="A33" s="146">
        <f t="shared" si="0"/>
        <v>2044</v>
      </c>
      <c r="B33" s="177">
        <f t="shared" si="6"/>
        <v>45975.499999999978</v>
      </c>
      <c r="C33" s="177">
        <f t="shared" si="1"/>
        <v>43212.372449999981</v>
      </c>
      <c r="D33" s="177">
        <f t="shared" si="2"/>
        <v>2763.1275499999974</v>
      </c>
      <c r="E33" s="177">
        <f t="shared" si="3"/>
        <v>9247.4477042999952</v>
      </c>
      <c r="F33" s="177">
        <f t="shared" si="4"/>
        <v>33964.924745699987</v>
      </c>
      <c r="G33" s="178">
        <f t="shared" si="5"/>
        <v>2763.1275499999974</v>
      </c>
    </row>
    <row r="34" spans="1:7" x14ac:dyDescent="0.25">
      <c r="A34" s="146">
        <f t="shared" si="0"/>
        <v>2045</v>
      </c>
      <c r="B34" s="177">
        <f t="shared" si="6"/>
        <v>46158.959999999977</v>
      </c>
      <c r="C34" s="177">
        <f t="shared" si="1"/>
        <v>43384.806503999978</v>
      </c>
      <c r="D34" s="177">
        <f t="shared" si="2"/>
        <v>2774.153495999999</v>
      </c>
      <c r="E34" s="177">
        <f t="shared" si="3"/>
        <v>9284.3485918559945</v>
      </c>
      <c r="F34" s="177">
        <f t="shared" si="4"/>
        <v>34100.457912143982</v>
      </c>
      <c r="G34" s="178">
        <f t="shared" si="5"/>
        <v>2774.153495999999</v>
      </c>
    </row>
    <row r="35" spans="1:7" x14ac:dyDescent="0.25">
      <c r="A35" s="146">
        <f t="shared" si="0"/>
        <v>2046</v>
      </c>
      <c r="B35" s="177">
        <f t="shared" si="6"/>
        <v>46342.419999999976</v>
      </c>
      <c r="C35" s="177">
        <f t="shared" si="1"/>
        <v>43557.240557999976</v>
      </c>
      <c r="D35" s="177">
        <f t="shared" si="2"/>
        <v>2785.1794420000006</v>
      </c>
      <c r="E35" s="177">
        <f t="shared" si="3"/>
        <v>9321.2494794119939</v>
      </c>
      <c r="F35" s="177">
        <f t="shared" si="4"/>
        <v>34235.991078587984</v>
      </c>
      <c r="G35" s="178">
        <f t="shared" si="5"/>
        <v>2785.1794420000006</v>
      </c>
    </row>
    <row r="36" spans="1:7" x14ac:dyDescent="0.25">
      <c r="A36" s="146">
        <f t="shared" si="0"/>
        <v>2047</v>
      </c>
      <c r="B36" s="177">
        <f t="shared" si="6"/>
        <v>46525.879999999976</v>
      </c>
      <c r="C36" s="177">
        <f t="shared" si="1"/>
        <v>43729.674611999973</v>
      </c>
      <c r="D36" s="177">
        <f t="shared" si="2"/>
        <v>2796.2053880000021</v>
      </c>
      <c r="E36" s="177">
        <f t="shared" si="3"/>
        <v>9358.1503669679933</v>
      </c>
      <c r="F36" s="177">
        <f t="shared" si="4"/>
        <v>34371.524245031978</v>
      </c>
      <c r="G36" s="178">
        <f t="shared" si="5"/>
        <v>2796.2053880000021</v>
      </c>
    </row>
    <row r="37" spans="1:7" x14ac:dyDescent="0.25">
      <c r="A37" s="146">
        <f t="shared" si="0"/>
        <v>2048</v>
      </c>
      <c r="B37" s="177">
        <f t="shared" si="6"/>
        <v>46709.339999999975</v>
      </c>
      <c r="C37" s="177">
        <f t="shared" si="1"/>
        <v>43902.108665999971</v>
      </c>
      <c r="D37" s="177">
        <f t="shared" si="2"/>
        <v>2807.2313340000037</v>
      </c>
      <c r="E37" s="177">
        <f t="shared" si="3"/>
        <v>9395.0512545239944</v>
      </c>
      <c r="F37" s="177">
        <f t="shared" si="4"/>
        <v>34507.05741147598</v>
      </c>
      <c r="G37" s="178">
        <f t="shared" si="5"/>
        <v>2807.2313340000037</v>
      </c>
    </row>
    <row r="38" spans="1:7" x14ac:dyDescent="0.25">
      <c r="A38" s="146">
        <f t="shared" si="0"/>
        <v>2049</v>
      </c>
      <c r="B38" s="177">
        <f t="shared" si="6"/>
        <v>46892.799999999974</v>
      </c>
      <c r="C38" s="177">
        <f t="shared" si="1"/>
        <v>44074.542719999976</v>
      </c>
      <c r="D38" s="177">
        <f t="shared" si="2"/>
        <v>2818.257279999998</v>
      </c>
      <c r="E38" s="177">
        <f t="shared" si="3"/>
        <v>9431.9521420799938</v>
      </c>
      <c r="F38" s="177">
        <f t="shared" si="4"/>
        <v>34642.590577919982</v>
      </c>
      <c r="G38" s="178">
        <f t="shared" si="5"/>
        <v>2818.257279999998</v>
      </c>
    </row>
    <row r="39" spans="1:7" x14ac:dyDescent="0.25">
      <c r="A39" s="146">
        <f t="shared" si="0"/>
        <v>2050</v>
      </c>
      <c r="B39" s="177">
        <f t="shared" si="6"/>
        <v>47076.259999999973</v>
      </c>
      <c r="C39" s="177">
        <f t="shared" si="1"/>
        <v>44246.976773999973</v>
      </c>
      <c r="D39" s="177">
        <f t="shared" si="2"/>
        <v>2829.2832259999996</v>
      </c>
      <c r="E39" s="177">
        <f t="shared" si="3"/>
        <v>9468.853029635995</v>
      </c>
      <c r="F39" s="177">
        <f t="shared" si="4"/>
        <v>34778.123744363984</v>
      </c>
      <c r="G39" s="178">
        <f t="shared" si="5"/>
        <v>2829.2832259999996</v>
      </c>
    </row>
    <row r="40" spans="1:7" x14ac:dyDescent="0.25">
      <c r="A40" s="146">
        <f t="shared" si="0"/>
        <v>2051</v>
      </c>
      <c r="B40" s="177">
        <f t="shared" si="6"/>
        <v>47259.719999999972</v>
      </c>
      <c r="C40" s="177">
        <f t="shared" si="1"/>
        <v>44419.410827999971</v>
      </c>
      <c r="D40" s="177">
        <f t="shared" si="2"/>
        <v>2840.3091720000011</v>
      </c>
      <c r="E40" s="177">
        <f t="shared" si="3"/>
        <v>9505.7539171919943</v>
      </c>
      <c r="F40" s="177">
        <f t="shared" si="4"/>
        <v>34913.656910807978</v>
      </c>
      <c r="G40" s="178">
        <f t="shared" si="5"/>
        <v>2840.3091720000011</v>
      </c>
    </row>
    <row r="41" spans="1:7" x14ac:dyDescent="0.25">
      <c r="A41" s="146">
        <f t="shared" si="0"/>
        <v>2052</v>
      </c>
      <c r="B41" s="177">
        <f t="shared" si="6"/>
        <v>47443.179999999971</v>
      </c>
      <c r="C41" s="177">
        <f t="shared" si="1"/>
        <v>44591.844881999968</v>
      </c>
      <c r="D41" s="177">
        <f t="shared" si="2"/>
        <v>2851.3351180000027</v>
      </c>
      <c r="E41" s="177">
        <f t="shared" si="3"/>
        <v>9542.6548047479937</v>
      </c>
      <c r="F41" s="177">
        <f t="shared" si="4"/>
        <v>35049.19007725198</v>
      </c>
      <c r="G41" s="178">
        <f t="shared" si="5"/>
        <v>2851.3351180000027</v>
      </c>
    </row>
    <row r="42" spans="1:7" x14ac:dyDescent="0.25">
      <c r="A42" s="146">
        <f t="shared" si="0"/>
        <v>2053</v>
      </c>
      <c r="B42" s="177">
        <f t="shared" si="6"/>
        <v>47626.63999999997</v>
      </c>
      <c r="C42" s="177">
        <f t="shared" si="1"/>
        <v>44764.278935999973</v>
      </c>
      <c r="D42" s="177">
        <f t="shared" si="2"/>
        <v>2862.361063999997</v>
      </c>
      <c r="E42" s="177">
        <f t="shared" si="3"/>
        <v>9579.5556923039949</v>
      </c>
      <c r="F42" s="177">
        <f t="shared" si="4"/>
        <v>35184.723243695982</v>
      </c>
      <c r="G42" s="178">
        <f t="shared" si="5"/>
        <v>2862.361063999997</v>
      </c>
    </row>
    <row r="43" spans="1:7" x14ac:dyDescent="0.25">
      <c r="A43" s="146">
        <f t="shared" si="0"/>
        <v>2054</v>
      </c>
      <c r="B43" s="177">
        <f t="shared" si="6"/>
        <v>47810.099999999969</v>
      </c>
      <c r="C43" s="177">
        <f t="shared" si="1"/>
        <v>44936.712989999971</v>
      </c>
      <c r="D43" s="177">
        <f t="shared" si="2"/>
        <v>2873.3870099999986</v>
      </c>
      <c r="E43" s="177">
        <f t="shared" si="3"/>
        <v>9616.4565798599942</v>
      </c>
      <c r="F43" s="177">
        <f t="shared" si="4"/>
        <v>35320.256410139977</v>
      </c>
      <c r="G43" s="178">
        <f t="shared" si="5"/>
        <v>2873.3870099999986</v>
      </c>
    </row>
    <row r="44" spans="1:7" x14ac:dyDescent="0.25">
      <c r="A44" s="146">
        <f t="shared" si="0"/>
        <v>2055</v>
      </c>
      <c r="B44" s="177">
        <f t="shared" si="6"/>
        <v>47993.559999999969</v>
      </c>
      <c r="C44" s="177">
        <f t="shared" si="1"/>
        <v>45109.147043999968</v>
      </c>
      <c r="D44" s="177">
        <f t="shared" si="2"/>
        <v>2884.4129560000001</v>
      </c>
      <c r="E44" s="177">
        <f t="shared" si="3"/>
        <v>9653.3574674159936</v>
      </c>
      <c r="F44" s="177">
        <f t="shared" si="4"/>
        <v>35455.789576583978</v>
      </c>
      <c r="G44" s="178">
        <f t="shared" si="5"/>
        <v>2884.4129560000001</v>
      </c>
    </row>
    <row r="45" spans="1:7" x14ac:dyDescent="0.25">
      <c r="A45" s="146">
        <f t="shared" si="0"/>
        <v>2056</v>
      </c>
      <c r="B45" s="177">
        <f t="shared" si="6"/>
        <v>48177.019999999968</v>
      </c>
      <c r="C45" s="177">
        <f t="shared" si="1"/>
        <v>45281.581097999966</v>
      </c>
      <c r="D45" s="177">
        <f t="shared" si="2"/>
        <v>2895.4389020000017</v>
      </c>
      <c r="E45" s="177">
        <f t="shared" si="3"/>
        <v>9690.258354971993</v>
      </c>
      <c r="F45" s="177">
        <f t="shared" si="4"/>
        <v>35591.322743027973</v>
      </c>
      <c r="G45" s="178">
        <f t="shared" si="5"/>
        <v>2895.4389020000017</v>
      </c>
    </row>
    <row r="46" spans="1:7" x14ac:dyDescent="0.25">
      <c r="A46" s="146">
        <f t="shared" si="0"/>
        <v>2057</v>
      </c>
      <c r="B46" s="177">
        <f t="shared" si="6"/>
        <v>48360.479999999967</v>
      </c>
      <c r="C46" s="177">
        <f t="shared" si="1"/>
        <v>45454.015151999964</v>
      </c>
      <c r="D46" s="177">
        <f t="shared" si="2"/>
        <v>2906.4648480000033</v>
      </c>
      <c r="E46" s="177">
        <f t="shared" si="3"/>
        <v>9727.1592425279923</v>
      </c>
      <c r="F46" s="177">
        <f t="shared" si="4"/>
        <v>35726.855909471975</v>
      </c>
      <c r="G46" s="178">
        <f t="shared" si="5"/>
        <v>2906.4648480000033</v>
      </c>
    </row>
    <row r="47" spans="1:7" x14ac:dyDescent="0.25">
      <c r="A47" s="146">
        <f t="shared" si="0"/>
        <v>2058</v>
      </c>
      <c r="B47" s="177">
        <f t="shared" si="6"/>
        <v>48543.939999999966</v>
      </c>
      <c r="C47" s="177">
        <f t="shared" si="1"/>
        <v>45626.449205999968</v>
      </c>
      <c r="D47" s="177">
        <f t="shared" si="2"/>
        <v>2917.4907939999975</v>
      </c>
      <c r="E47" s="177">
        <f t="shared" si="3"/>
        <v>9764.0601300839935</v>
      </c>
      <c r="F47" s="177">
        <f t="shared" si="4"/>
        <v>35862.389075915977</v>
      </c>
      <c r="G47" s="178">
        <f t="shared" si="5"/>
        <v>2917.4907939999975</v>
      </c>
    </row>
    <row r="48" spans="1:7" x14ac:dyDescent="0.25">
      <c r="A48" s="146">
        <f t="shared" si="0"/>
        <v>2059</v>
      </c>
      <c r="B48" s="177">
        <f t="shared" si="6"/>
        <v>48727.399999999965</v>
      </c>
      <c r="C48" s="177">
        <f t="shared" si="1"/>
        <v>45798.883259999966</v>
      </c>
      <c r="D48" s="177">
        <f t="shared" si="2"/>
        <v>2928.5167399999991</v>
      </c>
      <c r="E48" s="177">
        <f t="shared" si="3"/>
        <v>9800.9610176399929</v>
      </c>
      <c r="F48" s="177">
        <f t="shared" si="4"/>
        <v>35997.922242359971</v>
      </c>
      <c r="G48" s="178">
        <f t="shared" si="5"/>
        <v>2928.5167399999991</v>
      </c>
    </row>
    <row r="49" spans="1:7" x14ac:dyDescent="0.25">
      <c r="A49" s="146">
        <f t="shared" si="0"/>
        <v>2060</v>
      </c>
      <c r="B49" s="177">
        <f t="shared" si="6"/>
        <v>48910.859999999964</v>
      </c>
      <c r="C49" s="177">
        <f t="shared" si="1"/>
        <v>45971.317313999964</v>
      </c>
      <c r="D49" s="177">
        <f t="shared" si="2"/>
        <v>2939.5426860000007</v>
      </c>
      <c r="E49" s="177">
        <f t="shared" si="3"/>
        <v>9837.8619051959922</v>
      </c>
      <c r="F49" s="177">
        <f t="shared" si="4"/>
        <v>36133.455408803973</v>
      </c>
      <c r="G49" s="178">
        <f t="shared" si="5"/>
        <v>2939.5426860000007</v>
      </c>
    </row>
    <row r="50" spans="1:7" x14ac:dyDescent="0.25">
      <c r="A50" s="146">
        <f t="shared" si="0"/>
        <v>2061</v>
      </c>
      <c r="B50" s="177">
        <f t="shared" si="6"/>
        <v>49094.319999999963</v>
      </c>
      <c r="C50" s="177">
        <f t="shared" si="1"/>
        <v>46143.751367999961</v>
      </c>
      <c r="D50" s="177">
        <f t="shared" si="2"/>
        <v>2950.5686320000023</v>
      </c>
      <c r="E50" s="177">
        <f t="shared" si="3"/>
        <v>9874.7627927519916</v>
      </c>
      <c r="F50" s="177">
        <f t="shared" si="4"/>
        <v>36268.988575247968</v>
      </c>
      <c r="G50" s="178">
        <f t="shared" si="5"/>
        <v>2950.5686320000023</v>
      </c>
    </row>
    <row r="51" spans="1:7" x14ac:dyDescent="0.25">
      <c r="A51" s="146">
        <f t="shared" si="0"/>
        <v>2062</v>
      </c>
      <c r="B51" s="177">
        <f t="shared" si="6"/>
        <v>49277.779999999962</v>
      </c>
      <c r="C51" s="177">
        <f t="shared" si="1"/>
        <v>46316.185421999966</v>
      </c>
      <c r="D51" s="177">
        <f t="shared" si="2"/>
        <v>2961.5945779999965</v>
      </c>
      <c r="E51" s="177">
        <f t="shared" si="3"/>
        <v>9911.6636803079928</v>
      </c>
      <c r="F51" s="177">
        <f t="shared" si="4"/>
        <v>36404.521741691977</v>
      </c>
      <c r="G51" s="178">
        <f t="shared" si="5"/>
        <v>2961.5945779999965</v>
      </c>
    </row>
    <row r="52" spans="1:7" x14ac:dyDescent="0.25">
      <c r="A52" s="146">
        <f t="shared" si="0"/>
        <v>2063</v>
      </c>
      <c r="B52" s="177">
        <f t="shared" si="6"/>
        <v>49461.239999999962</v>
      </c>
      <c r="C52" s="177">
        <f t="shared" si="1"/>
        <v>46488.619475999963</v>
      </c>
      <c r="D52" s="177">
        <f t="shared" si="2"/>
        <v>2972.6205239999981</v>
      </c>
      <c r="E52" s="177">
        <f t="shared" si="3"/>
        <v>9948.5645678639921</v>
      </c>
      <c r="F52" s="177">
        <f t="shared" si="4"/>
        <v>36540.054908135971</v>
      </c>
      <c r="G52" s="178">
        <f t="shared" si="5"/>
        <v>2972.6205239999981</v>
      </c>
    </row>
    <row r="53" spans="1:7" x14ac:dyDescent="0.25">
      <c r="A53" s="146">
        <f t="shared" si="0"/>
        <v>2064</v>
      </c>
      <c r="B53" s="177">
        <f t="shared" si="6"/>
        <v>49644.699999999961</v>
      </c>
      <c r="C53" s="177">
        <f t="shared" si="1"/>
        <v>46661.053529999961</v>
      </c>
      <c r="D53" s="177">
        <f t="shared" si="2"/>
        <v>2983.6464699999997</v>
      </c>
      <c r="E53" s="177">
        <f t="shared" si="3"/>
        <v>9985.4654554199915</v>
      </c>
      <c r="F53" s="177">
        <f t="shared" si="4"/>
        <v>36675.588074579973</v>
      </c>
      <c r="G53" s="178">
        <f t="shared" si="5"/>
        <v>2983.6464699999997</v>
      </c>
    </row>
    <row r="54" spans="1:7" x14ac:dyDescent="0.25">
      <c r="A54" s="146">
        <f t="shared" si="0"/>
        <v>2065</v>
      </c>
      <c r="B54" s="177">
        <f t="shared" si="6"/>
        <v>49828.15999999996</v>
      </c>
      <c r="C54" s="177">
        <f t="shared" si="1"/>
        <v>46833.487583999959</v>
      </c>
      <c r="D54" s="177">
        <f t="shared" si="2"/>
        <v>2994.6724160000012</v>
      </c>
      <c r="E54" s="177">
        <f t="shared" si="3"/>
        <v>10022.366342975991</v>
      </c>
      <c r="F54" s="177">
        <f t="shared" si="4"/>
        <v>36811.121241023968</v>
      </c>
      <c r="G54" s="178">
        <f t="shared" si="5"/>
        <v>2994.6724160000012</v>
      </c>
    </row>
    <row r="55" spans="1:7" x14ac:dyDescent="0.25">
      <c r="A55" s="146">
        <f t="shared" si="0"/>
        <v>2066</v>
      </c>
      <c r="B55" s="177">
        <f t="shared" si="6"/>
        <v>50011.619999999959</v>
      </c>
      <c r="C55" s="177">
        <f t="shared" si="1"/>
        <v>47005.921637999956</v>
      </c>
      <c r="D55" s="177">
        <f t="shared" si="2"/>
        <v>3005.6983620000028</v>
      </c>
      <c r="E55" s="177">
        <f t="shared" si="3"/>
        <v>10059.26723053199</v>
      </c>
      <c r="F55" s="177">
        <f t="shared" si="4"/>
        <v>36946.65440746797</v>
      </c>
      <c r="G55" s="178">
        <f t="shared" si="5"/>
        <v>3005.6983620000028</v>
      </c>
    </row>
    <row r="56" spans="1:7" x14ac:dyDescent="0.25">
      <c r="A56" s="146">
        <f t="shared" si="0"/>
        <v>2067</v>
      </c>
      <c r="B56" s="177">
        <f t="shared" si="6"/>
        <v>50195.079999999958</v>
      </c>
      <c r="C56" s="177">
        <f t="shared" si="1"/>
        <v>47178.355691999961</v>
      </c>
      <c r="D56" s="177">
        <f t="shared" si="2"/>
        <v>3016.7243079999971</v>
      </c>
      <c r="E56" s="177">
        <f t="shared" si="3"/>
        <v>10096.168118087991</v>
      </c>
      <c r="F56" s="177">
        <f t="shared" si="4"/>
        <v>37082.187573911971</v>
      </c>
      <c r="G56" s="178">
        <f t="shared" si="5"/>
        <v>3016.7243079999971</v>
      </c>
    </row>
    <row r="57" spans="1:7" x14ac:dyDescent="0.25">
      <c r="A57" s="146">
        <f t="shared" si="0"/>
        <v>2068</v>
      </c>
      <c r="B57" s="177">
        <f t="shared" si="6"/>
        <v>50378.539999999957</v>
      </c>
      <c r="C57" s="177">
        <f t="shared" si="1"/>
        <v>47350.789745999959</v>
      </c>
      <c r="D57" s="177">
        <f t="shared" si="2"/>
        <v>3027.7502539999987</v>
      </c>
      <c r="E57" s="177">
        <f t="shared" si="3"/>
        <v>10133.069005643991</v>
      </c>
      <c r="F57" s="177">
        <f t="shared" si="4"/>
        <v>37217.720740355966</v>
      </c>
      <c r="G57" s="178">
        <f t="shared" si="5"/>
        <v>3027.7502539999987</v>
      </c>
    </row>
    <row r="58" spans="1:7" x14ac:dyDescent="0.25">
      <c r="A58" s="146">
        <f>1+A57:A57</f>
        <v>2069</v>
      </c>
      <c r="B58" s="177">
        <f t="shared" si="6"/>
        <v>50561.999999999956</v>
      </c>
      <c r="C58" s="177">
        <f t="shared" si="1"/>
        <v>47523.223799999956</v>
      </c>
      <c r="D58" s="177">
        <f t="shared" si="2"/>
        <v>3038.7762000000002</v>
      </c>
      <c r="E58" s="177">
        <f t="shared" si="3"/>
        <v>10169.96989319999</v>
      </c>
      <c r="F58" s="177">
        <f t="shared" si="4"/>
        <v>37353.253906799968</v>
      </c>
      <c r="G58" s="178">
        <f t="shared" si="5"/>
        <v>3038.7762000000002</v>
      </c>
    </row>
    <row r="59" spans="1:7" x14ac:dyDescent="0.25">
      <c r="A59" s="146">
        <f>1+A58:A58</f>
        <v>2070</v>
      </c>
      <c r="B59" s="177">
        <f t="shared" si="6"/>
        <v>50745.459999999955</v>
      </c>
      <c r="C59" s="177">
        <f t="shared" ref="C59" si="7">B59*$C$4</f>
        <v>47695.657853999954</v>
      </c>
      <c r="D59" s="177">
        <f t="shared" ref="D59" si="8">B59-C59</f>
        <v>3049.8021460000018</v>
      </c>
      <c r="E59" s="177">
        <f>C59*$E$4</f>
        <v>10206.870780755989</v>
      </c>
      <c r="F59" s="177">
        <f t="shared" ref="F59" si="9">C59*$F$4</f>
        <v>37488.787073243962</v>
      </c>
      <c r="G59" s="178">
        <f t="shared" ref="G59" si="10">D59</f>
        <v>3049.8021460000018</v>
      </c>
    </row>
    <row r="60" spans="1:7" x14ac:dyDescent="0.25">
      <c r="A60" s="146">
        <f>1+A59:A59</f>
        <v>2071</v>
      </c>
      <c r="B60" s="177">
        <f t="shared" si="6"/>
        <v>50928.919999999955</v>
      </c>
      <c r="C60" s="177">
        <f t="shared" ref="C60" si="11">B60*$C$4</f>
        <v>47868.091907999958</v>
      </c>
      <c r="D60" s="177">
        <f t="shared" ref="D60" si="12">B60-C60</f>
        <v>3060.8280919999961</v>
      </c>
      <c r="E60" s="177">
        <f>C60*$E$4</f>
        <v>10243.771668311991</v>
      </c>
      <c r="F60" s="177">
        <f t="shared" ref="F60" si="13">C60*$F$4</f>
        <v>37624.320239687971</v>
      </c>
      <c r="G60" s="178">
        <f t="shared" ref="G60" si="14">D60</f>
        <v>3060.8280919999961</v>
      </c>
    </row>
    <row r="61" spans="1:7" x14ac:dyDescent="0.25">
      <c r="A61" s="146">
        <f>1+A60:A60</f>
        <v>2072</v>
      </c>
      <c r="B61" s="177">
        <f t="shared" si="6"/>
        <v>51112.379999999954</v>
      </c>
      <c r="C61" s="177">
        <f t="shared" ref="C61" si="15">B61*$C$4</f>
        <v>48040.525961999956</v>
      </c>
      <c r="D61" s="177">
        <f t="shared" ref="D61" si="16">B61-C61</f>
        <v>3071.8540379999977</v>
      </c>
      <c r="E61" s="177">
        <f>C61*$E$4</f>
        <v>10280.67255586799</v>
      </c>
      <c r="F61" s="177">
        <f t="shared" ref="F61" si="17">C61*$F$4</f>
        <v>37759.853406131966</v>
      </c>
      <c r="G61" s="178">
        <f t="shared" ref="G61" si="18">D61</f>
        <v>3071.8540379999977</v>
      </c>
    </row>
    <row r="62" spans="1:7" ht="15.75" thickBot="1" x14ac:dyDescent="0.3">
      <c r="A62" s="179">
        <f>1+A61:A61</f>
        <v>2073</v>
      </c>
      <c r="B62" s="180">
        <f t="shared" si="6"/>
        <v>51295.839999999953</v>
      </c>
      <c r="C62" s="180">
        <f t="shared" ref="C62" si="19">B62*$C$4</f>
        <v>48212.960015999954</v>
      </c>
      <c r="D62" s="180">
        <f t="shared" ref="D62" si="20">B62-C62</f>
        <v>3082.8799839999992</v>
      </c>
      <c r="E62" s="180">
        <f>C62*$E$4</f>
        <v>10317.573443423989</v>
      </c>
      <c r="F62" s="180">
        <f t="shared" ref="F62" si="21">C62*$F$4</f>
        <v>37895.386572575968</v>
      </c>
      <c r="G62" s="181">
        <f t="shared" ref="G62" si="22">D62</f>
        <v>3082.8799839999992</v>
      </c>
    </row>
  </sheetData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B17" sqref="B17"/>
    </sheetView>
  </sheetViews>
  <sheetFormatPr defaultRowHeight="15" x14ac:dyDescent="0.25"/>
  <cols>
    <col min="1" max="1" width="13.140625" customWidth="1"/>
    <col min="2" max="2" width="35.140625" customWidth="1"/>
    <col min="3" max="3" width="16" customWidth="1"/>
  </cols>
  <sheetData>
    <row r="1" spans="1:5" x14ac:dyDescent="0.25">
      <c r="A1" t="s">
        <v>133</v>
      </c>
    </row>
    <row r="2" spans="1:5" ht="15.75" thickBot="1" x14ac:dyDescent="0.3"/>
    <row r="3" spans="1:5" ht="17.25" x14ac:dyDescent="0.25">
      <c r="A3" s="119" t="s">
        <v>118</v>
      </c>
      <c r="B3" s="182" t="s">
        <v>119</v>
      </c>
      <c r="C3" s="5"/>
    </row>
    <row r="4" spans="1:5" x14ac:dyDescent="0.25">
      <c r="A4" s="123">
        <v>2013</v>
      </c>
      <c r="B4" s="219">
        <v>1.0424</v>
      </c>
    </row>
    <row r="5" spans="1:5" x14ac:dyDescent="0.25">
      <c r="A5" s="123">
        <v>2014</v>
      </c>
      <c r="B5" s="219">
        <v>1.024</v>
      </c>
    </row>
    <row r="6" spans="1:5" x14ac:dyDescent="0.25">
      <c r="A6" s="123">
        <v>2015</v>
      </c>
      <c r="B6" s="219">
        <v>1.1032</v>
      </c>
    </row>
    <row r="7" spans="1:5" x14ac:dyDescent="0.25">
      <c r="A7" s="123">
        <v>2016</v>
      </c>
      <c r="B7" s="219">
        <v>1</v>
      </c>
    </row>
    <row r="8" spans="1:5" ht="15.75" thickBot="1" x14ac:dyDescent="0.3">
      <c r="A8" s="133"/>
      <c r="B8" s="183"/>
    </row>
    <row r="9" spans="1:5" x14ac:dyDescent="0.25">
      <c r="A9" s="256" t="s">
        <v>120</v>
      </c>
      <c r="B9" s="257"/>
      <c r="C9" s="231"/>
      <c r="D9" s="231"/>
      <c r="E9" s="231"/>
    </row>
    <row r="10" spans="1:5" x14ac:dyDescent="0.25">
      <c r="A10" s="258"/>
      <c r="B10" s="258"/>
      <c r="C10" s="231"/>
      <c r="D10" s="231"/>
      <c r="E10" s="231"/>
    </row>
    <row r="11" spans="1:5" x14ac:dyDescent="0.25">
      <c r="A11" s="258"/>
      <c r="B11" s="258"/>
      <c r="C11" s="232"/>
      <c r="D11" s="232"/>
      <c r="E11" s="232"/>
    </row>
    <row r="12" spans="1:5" x14ac:dyDescent="0.25">
      <c r="A12" s="232"/>
      <c r="B12" s="232"/>
      <c r="C12" s="232"/>
      <c r="D12" s="232"/>
      <c r="E12" s="232"/>
    </row>
  </sheetData>
  <mergeCells count="1">
    <mergeCell ref="A9:B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6"/>
  <sheetViews>
    <sheetView workbookViewId="0">
      <selection activeCell="D46" sqref="D46"/>
    </sheetView>
  </sheetViews>
  <sheetFormatPr defaultRowHeight="15" x14ac:dyDescent="0.25"/>
  <cols>
    <col min="1" max="1" width="13.85546875" customWidth="1"/>
    <col min="2" max="2" width="12.5703125" customWidth="1"/>
    <col min="3" max="3" width="14.42578125" customWidth="1"/>
    <col min="4" max="4" width="11.85546875" customWidth="1"/>
    <col min="5" max="5" width="14" customWidth="1"/>
    <col min="9" max="9" width="19.7109375" customWidth="1"/>
    <col min="10" max="10" width="28.7109375" customWidth="1"/>
    <col min="11" max="11" width="12.140625" customWidth="1"/>
    <col min="12" max="12" width="13.5703125" customWidth="1"/>
    <col min="13" max="13" width="13.28515625" customWidth="1"/>
    <col min="14" max="14" width="13.85546875" customWidth="1"/>
    <col min="15" max="16" width="14.28515625" customWidth="1"/>
    <col min="17" max="17" width="21.140625" customWidth="1"/>
    <col min="18" max="18" width="5.5703125" customWidth="1"/>
    <col min="19" max="19" width="16.140625" customWidth="1"/>
    <col min="20" max="20" width="16.85546875" customWidth="1"/>
    <col min="21" max="21" width="15" customWidth="1"/>
    <col min="22" max="22" width="34.5703125" customWidth="1"/>
  </cols>
  <sheetData>
    <row r="1" spans="1:21" x14ac:dyDescent="0.25">
      <c r="A1" t="s">
        <v>11</v>
      </c>
    </row>
    <row r="2" spans="1:21" ht="15.75" thickBot="1" x14ac:dyDescent="0.3"/>
    <row r="3" spans="1:21" ht="18" thickBot="1" x14ac:dyDescent="0.3">
      <c r="A3" s="46" t="s">
        <v>108</v>
      </c>
      <c r="B3" s="117"/>
      <c r="C3" s="117"/>
      <c r="D3" s="117"/>
      <c r="E3" s="185"/>
      <c r="H3" s="15" t="s">
        <v>40</v>
      </c>
      <c r="I3" s="16"/>
      <c r="J3" s="16"/>
      <c r="K3" s="16"/>
      <c r="L3" s="16"/>
      <c r="M3" s="17"/>
      <c r="N3" s="15" t="s">
        <v>73</v>
      </c>
      <c r="O3" s="16"/>
      <c r="P3" s="17"/>
      <c r="Q3" s="41"/>
      <c r="R3" s="38"/>
      <c r="S3" s="29" t="s">
        <v>39</v>
      </c>
      <c r="T3" s="30"/>
      <c r="U3" s="31"/>
    </row>
    <row r="4" spans="1:21" ht="15.75" thickBot="1" x14ac:dyDescent="0.3">
      <c r="A4" s="24" t="s">
        <v>12</v>
      </c>
      <c r="B4" s="26" t="s">
        <v>13</v>
      </c>
      <c r="C4" s="26" t="s">
        <v>14</v>
      </c>
      <c r="D4" s="26" t="s">
        <v>21</v>
      </c>
      <c r="E4" s="27" t="s">
        <v>21</v>
      </c>
      <c r="H4" s="20" t="s">
        <v>6</v>
      </c>
      <c r="I4" s="23" t="s">
        <v>38</v>
      </c>
      <c r="J4" s="23" t="s">
        <v>37</v>
      </c>
      <c r="K4" s="23" t="s">
        <v>34</v>
      </c>
      <c r="L4" s="23" t="s">
        <v>35</v>
      </c>
      <c r="M4" s="28" t="s">
        <v>36</v>
      </c>
      <c r="N4" s="20" t="s">
        <v>34</v>
      </c>
      <c r="O4" s="23" t="s">
        <v>35</v>
      </c>
      <c r="P4" s="28" t="s">
        <v>36</v>
      </c>
      <c r="Q4" s="42" t="s">
        <v>41</v>
      </c>
      <c r="R4" s="39"/>
      <c r="S4" s="20" t="s">
        <v>34</v>
      </c>
      <c r="T4" s="23" t="s">
        <v>35</v>
      </c>
      <c r="U4" s="28" t="s">
        <v>36</v>
      </c>
    </row>
    <row r="5" spans="1:21" x14ac:dyDescent="0.25">
      <c r="A5" s="18">
        <v>1</v>
      </c>
      <c r="B5" s="6" t="s">
        <v>15</v>
      </c>
      <c r="C5" s="6">
        <v>3.0000000000000001E-3</v>
      </c>
      <c r="D5" s="10">
        <v>28800</v>
      </c>
      <c r="E5" s="220">
        <f>D5*GDP!$B$7</f>
        <v>28800</v>
      </c>
      <c r="H5" s="24">
        <v>2019</v>
      </c>
      <c r="I5" s="25">
        <f>'Traffic Volumes'!B8</f>
        <v>41389</v>
      </c>
      <c r="J5" s="26">
        <v>0</v>
      </c>
      <c r="K5" s="65">
        <f>C32</f>
        <v>9.1999999999999993</v>
      </c>
      <c r="L5" s="65">
        <f>C33</f>
        <v>2.1</v>
      </c>
      <c r="M5" s="226">
        <f>C34</f>
        <v>0.1</v>
      </c>
      <c r="N5" s="24">
        <v>0</v>
      </c>
      <c r="O5" s="26">
        <v>0</v>
      </c>
      <c r="P5" s="27">
        <v>0</v>
      </c>
      <c r="Q5" s="43">
        <v>0</v>
      </c>
      <c r="R5" s="39"/>
      <c r="S5" s="36"/>
      <c r="T5" s="25"/>
      <c r="U5" s="31"/>
    </row>
    <row r="6" spans="1:21" x14ac:dyDescent="0.25">
      <c r="A6" s="18">
        <v>2</v>
      </c>
      <c r="B6" s="6" t="s">
        <v>16</v>
      </c>
      <c r="C6" s="6">
        <v>4.7E-2</v>
      </c>
      <c r="D6" s="10">
        <v>451200</v>
      </c>
      <c r="E6" s="220">
        <f>D6*GDP!$B$7</f>
        <v>451200</v>
      </c>
      <c r="H6" s="18">
        <f>H5+1</f>
        <v>2020</v>
      </c>
      <c r="I6" s="13">
        <f>I5+183.46</f>
        <v>41572.46</v>
      </c>
      <c r="J6" s="14">
        <f>(I6-I5)/I6</f>
        <v>4.4130176564003941E-3</v>
      </c>
      <c r="K6" s="6">
        <f>ROUNDUP(K5*(1+J6),1)</f>
        <v>9.2999999999999989</v>
      </c>
      <c r="L6" s="66">
        <f>ROUNDUP($C$33*(1+J6),1)</f>
        <v>2.2000000000000002</v>
      </c>
      <c r="M6" s="66">
        <f>ROUNDUP($C$34*(1+J6),1)</f>
        <v>0.2</v>
      </c>
      <c r="N6" s="45">
        <v>0</v>
      </c>
      <c r="O6" s="45">
        <v>0</v>
      </c>
      <c r="P6" s="19">
        <f>M6*0.23</f>
        <v>4.6000000000000006E-2</v>
      </c>
      <c r="Q6" s="44">
        <f>(N6*$C$26)+(O6*$C$27)+(P6*$C$28)</f>
        <v>423637.75901765161</v>
      </c>
      <c r="R6" s="39"/>
      <c r="S6" s="32">
        <f>ROUNDUP(K6-N6,0)</f>
        <v>10</v>
      </c>
      <c r="T6" s="9">
        <f>ROUNDUP(L6-O6,0)</f>
        <v>3</v>
      </c>
      <c r="U6" s="33">
        <f>ROUNDUP(M6-P6,0)</f>
        <v>1</v>
      </c>
    </row>
    <row r="7" spans="1:21" x14ac:dyDescent="0.25">
      <c r="A7" s="18">
        <v>3</v>
      </c>
      <c r="B7" s="6" t="s">
        <v>17</v>
      </c>
      <c r="C7" s="6">
        <v>0.105</v>
      </c>
      <c r="D7" s="10">
        <v>1008000</v>
      </c>
      <c r="E7" s="220">
        <f>D7*GDP!$B$7</f>
        <v>1008000</v>
      </c>
      <c r="H7" s="18">
        <f t="shared" ref="H7:H59" si="0">H6+1</f>
        <v>2021</v>
      </c>
      <c r="I7" s="13">
        <f t="shared" ref="I7:I59" si="1">I6+183.46</f>
        <v>41755.919999999998</v>
      </c>
      <c r="J7" s="14">
        <f t="shared" ref="J7:J59" si="2">(I7-I6)/I7</f>
        <v>4.3936284962706879E-3</v>
      </c>
      <c r="K7" s="6">
        <f t="shared" ref="K7:K55" si="3">ROUNDUP(K6*(1+J7),1)</f>
        <v>9.4</v>
      </c>
      <c r="L7" s="66">
        <f>ROUNDUP(L6*(1+J7),1)</f>
        <v>2.3000000000000003</v>
      </c>
      <c r="M7" s="66">
        <f>ROUNDUP($C$34*(1+J7),1)</f>
        <v>0.2</v>
      </c>
      <c r="N7" s="45">
        <f>K7*0.336*0.5</f>
        <v>1.5792000000000002</v>
      </c>
      <c r="O7" s="45">
        <f>L7*0.39*0.5</f>
        <v>0.44850000000000007</v>
      </c>
      <c r="P7" s="19">
        <f t="shared" ref="P7:P59" si="4">M7*0.23</f>
        <v>4.6000000000000006E-2</v>
      </c>
      <c r="Q7" s="44">
        <f t="shared" ref="Q7:Q59" si="5">(N7*$C$26)+(O7*$C$27)+(P7*$C$28)</f>
        <v>624484.52048749046</v>
      </c>
      <c r="R7" s="40"/>
      <c r="S7" s="32">
        <f t="shared" ref="S7:S55" si="6">ROUNDUP(K7-N7,0)</f>
        <v>8</v>
      </c>
      <c r="T7" s="9">
        <f t="shared" ref="T7:T55" si="7">ROUNDUP(L7-O7,0)</f>
        <v>2</v>
      </c>
      <c r="U7" s="33">
        <f t="shared" ref="U7:U59" si="8">ROUNDUP(M7-P7,0)</f>
        <v>1</v>
      </c>
    </row>
    <row r="8" spans="1:21" x14ac:dyDescent="0.25">
      <c r="A8" s="18">
        <v>4</v>
      </c>
      <c r="B8" s="6" t="s">
        <v>18</v>
      </c>
      <c r="C8" s="6">
        <v>0.26600000000000001</v>
      </c>
      <c r="D8" s="10">
        <v>2553600</v>
      </c>
      <c r="E8" s="220">
        <f>D8*GDP!$B$7</f>
        <v>2553600</v>
      </c>
      <c r="H8" s="18">
        <f t="shared" si="0"/>
        <v>2022</v>
      </c>
      <c r="I8" s="13">
        <f t="shared" si="1"/>
        <v>41939.379999999997</v>
      </c>
      <c r="J8" s="14">
        <f t="shared" si="2"/>
        <v>4.3744089683729025E-3</v>
      </c>
      <c r="K8" s="6">
        <f t="shared" si="3"/>
        <v>9.5</v>
      </c>
      <c r="L8" s="66">
        <f t="shared" ref="L8:L55" si="9">ROUNDUP(L7*(1+J8),1)</f>
        <v>2.4</v>
      </c>
      <c r="M8" s="66">
        <f t="shared" ref="M8:M59" si="10">ROUNDUP($C$34*(1+J8),1)</f>
        <v>0.2</v>
      </c>
      <c r="N8" s="45">
        <f t="shared" ref="N8:N55" si="11">K8*0.336</f>
        <v>3.1920000000000002</v>
      </c>
      <c r="O8" s="45">
        <f t="shared" ref="O8:O55" si="12">L8*0.39</f>
        <v>0.93599999999999994</v>
      </c>
      <c r="P8" s="19">
        <f t="shared" si="4"/>
        <v>4.6000000000000006E-2</v>
      </c>
      <c r="Q8" s="44">
        <f t="shared" si="5"/>
        <v>842355.19290253264</v>
      </c>
      <c r="R8" s="40"/>
      <c r="S8" s="32">
        <f t="shared" si="6"/>
        <v>7</v>
      </c>
      <c r="T8" s="9">
        <f t="shared" si="7"/>
        <v>2</v>
      </c>
      <c r="U8" s="33">
        <f t="shared" si="8"/>
        <v>1</v>
      </c>
    </row>
    <row r="9" spans="1:21" x14ac:dyDescent="0.25">
      <c r="A9" s="18">
        <v>5</v>
      </c>
      <c r="B9" s="6" t="s">
        <v>19</v>
      </c>
      <c r="C9" s="6">
        <v>0.59299999999999997</v>
      </c>
      <c r="D9" s="10">
        <v>5692800</v>
      </c>
      <c r="E9" s="220">
        <f>D9*GDP!$B$7</f>
        <v>5692800</v>
      </c>
      <c r="H9" s="18">
        <f t="shared" si="0"/>
        <v>2023</v>
      </c>
      <c r="I9" s="13">
        <f t="shared" si="1"/>
        <v>42122.84</v>
      </c>
      <c r="J9" s="14">
        <f t="shared" si="2"/>
        <v>4.3553568562803256E-3</v>
      </c>
      <c r="K9" s="6">
        <f t="shared" si="3"/>
        <v>9.6</v>
      </c>
      <c r="L9" s="66">
        <f t="shared" si="9"/>
        <v>2.5</v>
      </c>
      <c r="M9" s="66">
        <f t="shared" si="10"/>
        <v>0.2</v>
      </c>
      <c r="N9" s="45">
        <f t="shared" si="11"/>
        <v>3.2256</v>
      </c>
      <c r="O9" s="45">
        <f t="shared" si="12"/>
        <v>0.97500000000000009</v>
      </c>
      <c r="P9" s="19">
        <f t="shared" si="4"/>
        <v>4.6000000000000006E-2</v>
      </c>
      <c r="Q9" s="44">
        <f t="shared" si="5"/>
        <v>859379.10384773603</v>
      </c>
      <c r="R9" s="40"/>
      <c r="S9" s="32">
        <f t="shared" si="6"/>
        <v>7</v>
      </c>
      <c r="T9" s="9">
        <f t="shared" si="7"/>
        <v>2</v>
      </c>
      <c r="U9" s="33">
        <f t="shared" si="8"/>
        <v>1</v>
      </c>
    </row>
    <row r="10" spans="1:21" ht="15.75" thickBot="1" x14ac:dyDescent="0.3">
      <c r="A10" s="20">
        <v>6</v>
      </c>
      <c r="B10" s="23" t="s">
        <v>20</v>
      </c>
      <c r="C10" s="23">
        <v>1</v>
      </c>
      <c r="D10" s="184">
        <v>9600000</v>
      </c>
      <c r="E10" s="221">
        <f>D10*GDP!$B$7</f>
        <v>9600000</v>
      </c>
      <c r="H10" s="18">
        <f t="shared" si="0"/>
        <v>2024</v>
      </c>
      <c r="I10" s="13">
        <f t="shared" si="1"/>
        <v>42306.299999999996</v>
      </c>
      <c r="J10" s="14">
        <f t="shared" si="2"/>
        <v>4.3364699820121148E-3</v>
      </c>
      <c r="K10" s="6">
        <f t="shared" si="3"/>
        <v>9.6999999999999993</v>
      </c>
      <c r="L10" s="66">
        <f t="shared" si="9"/>
        <v>2.6</v>
      </c>
      <c r="M10" s="66">
        <f t="shared" si="10"/>
        <v>0.2</v>
      </c>
      <c r="N10" s="45">
        <f t="shared" si="11"/>
        <v>3.2591999999999999</v>
      </c>
      <c r="O10" s="45">
        <f t="shared" si="12"/>
        <v>1.014</v>
      </c>
      <c r="P10" s="19">
        <f t="shared" si="4"/>
        <v>4.6000000000000006E-2</v>
      </c>
      <c r="Q10" s="44">
        <f t="shared" si="5"/>
        <v>876403.01479293942</v>
      </c>
      <c r="R10" s="40"/>
      <c r="S10" s="32">
        <f t="shared" si="6"/>
        <v>7</v>
      </c>
      <c r="T10" s="9">
        <f t="shared" si="7"/>
        <v>2</v>
      </c>
      <c r="U10" s="33">
        <f t="shared" si="8"/>
        <v>1</v>
      </c>
    </row>
    <row r="11" spans="1:21" x14ac:dyDescent="0.25">
      <c r="A11" s="89" t="s">
        <v>88</v>
      </c>
      <c r="H11" s="18">
        <f t="shared" si="0"/>
        <v>2025</v>
      </c>
      <c r="I11" s="13">
        <f t="shared" si="1"/>
        <v>42489.759999999995</v>
      </c>
      <c r="J11" s="14">
        <f t="shared" si="2"/>
        <v>4.3177462052033039E-3</v>
      </c>
      <c r="K11" s="6">
        <f t="shared" si="3"/>
        <v>9.7999999999999989</v>
      </c>
      <c r="L11" s="66">
        <f t="shared" si="9"/>
        <v>2.7</v>
      </c>
      <c r="M11" s="66">
        <f t="shared" si="10"/>
        <v>0.2</v>
      </c>
      <c r="N11" s="45">
        <f t="shared" si="11"/>
        <v>3.2927999999999997</v>
      </c>
      <c r="O11" s="45">
        <f t="shared" si="12"/>
        <v>1.0530000000000002</v>
      </c>
      <c r="P11" s="19">
        <f t="shared" si="4"/>
        <v>4.6000000000000006E-2</v>
      </c>
      <c r="Q11" s="44">
        <f t="shared" si="5"/>
        <v>893426.9257381428</v>
      </c>
      <c r="R11" s="40"/>
      <c r="S11" s="32">
        <f t="shared" si="6"/>
        <v>7</v>
      </c>
      <c r="T11" s="9">
        <f t="shared" si="7"/>
        <v>2</v>
      </c>
      <c r="U11" s="33">
        <f t="shared" si="8"/>
        <v>1</v>
      </c>
    </row>
    <row r="12" spans="1:21" ht="15.75" thickBot="1" x14ac:dyDescent="0.3">
      <c r="H12" s="18">
        <f t="shared" si="0"/>
        <v>2026</v>
      </c>
      <c r="I12" s="13">
        <f t="shared" si="1"/>
        <v>42673.219999999994</v>
      </c>
      <c r="J12" s="14">
        <f t="shared" si="2"/>
        <v>4.2991834222962117E-3</v>
      </c>
      <c r="K12" s="6">
        <f t="shared" si="3"/>
        <v>9.9</v>
      </c>
      <c r="L12" s="66">
        <f t="shared" si="9"/>
        <v>2.8000000000000003</v>
      </c>
      <c r="M12" s="66">
        <f t="shared" si="10"/>
        <v>0.2</v>
      </c>
      <c r="N12" s="45">
        <f t="shared" si="11"/>
        <v>3.3264000000000005</v>
      </c>
      <c r="O12" s="45">
        <f t="shared" si="12"/>
        <v>1.0920000000000001</v>
      </c>
      <c r="P12" s="19">
        <f t="shared" si="4"/>
        <v>4.6000000000000006E-2</v>
      </c>
      <c r="Q12" s="44">
        <f t="shared" si="5"/>
        <v>910450.83668334619</v>
      </c>
      <c r="R12" s="40"/>
      <c r="S12" s="32">
        <f t="shared" si="6"/>
        <v>7</v>
      </c>
      <c r="T12" s="9">
        <f t="shared" si="7"/>
        <v>2</v>
      </c>
      <c r="U12" s="33">
        <f t="shared" si="8"/>
        <v>1</v>
      </c>
    </row>
    <row r="13" spans="1:21" x14ac:dyDescent="0.25">
      <c r="A13" s="186" t="s">
        <v>22</v>
      </c>
      <c r="B13" s="16"/>
      <c r="C13" s="16"/>
      <c r="D13" s="16"/>
      <c r="E13" s="17"/>
      <c r="H13" s="18">
        <f t="shared" si="0"/>
        <v>2027</v>
      </c>
      <c r="I13" s="13">
        <f t="shared" si="1"/>
        <v>42856.679999999993</v>
      </c>
      <c r="J13" s="14">
        <f t="shared" si="2"/>
        <v>4.2807795657526237E-3</v>
      </c>
      <c r="K13" s="6">
        <f t="shared" si="3"/>
        <v>10</v>
      </c>
      <c r="L13" s="66">
        <f t="shared" si="9"/>
        <v>2.9</v>
      </c>
      <c r="M13" s="66">
        <f t="shared" si="10"/>
        <v>0.2</v>
      </c>
      <c r="N13" s="45">
        <f t="shared" si="11"/>
        <v>3.3600000000000003</v>
      </c>
      <c r="O13" s="45">
        <f t="shared" si="12"/>
        <v>1.131</v>
      </c>
      <c r="P13" s="19">
        <f t="shared" si="4"/>
        <v>4.6000000000000006E-2</v>
      </c>
      <c r="Q13" s="44">
        <f t="shared" si="5"/>
        <v>927474.74762854958</v>
      </c>
      <c r="R13" s="40"/>
      <c r="S13" s="32">
        <f t="shared" si="6"/>
        <v>7</v>
      </c>
      <c r="T13" s="9">
        <f t="shared" si="7"/>
        <v>2</v>
      </c>
      <c r="U13" s="33">
        <f t="shared" si="8"/>
        <v>1</v>
      </c>
    </row>
    <row r="14" spans="1:21" x14ac:dyDescent="0.25">
      <c r="A14" s="187"/>
      <c r="B14" s="38"/>
      <c r="C14" s="188" t="s">
        <v>21</v>
      </c>
      <c r="D14" s="188" t="s">
        <v>21</v>
      </c>
      <c r="E14" s="189"/>
      <c r="H14" s="18">
        <f t="shared" si="0"/>
        <v>2028</v>
      </c>
      <c r="I14" s="13">
        <f t="shared" si="1"/>
        <v>43040.139999999992</v>
      </c>
      <c r="J14" s="14">
        <f t="shared" si="2"/>
        <v>4.2625326032861219E-3</v>
      </c>
      <c r="K14" s="6">
        <f t="shared" si="3"/>
        <v>10.1</v>
      </c>
      <c r="L14" s="66">
        <f t="shared" si="9"/>
        <v>3</v>
      </c>
      <c r="M14" s="66">
        <f t="shared" si="10"/>
        <v>0.2</v>
      </c>
      <c r="N14" s="45">
        <f t="shared" si="11"/>
        <v>3.3936000000000002</v>
      </c>
      <c r="O14" s="45">
        <f t="shared" si="12"/>
        <v>1.17</v>
      </c>
      <c r="P14" s="19">
        <f t="shared" si="4"/>
        <v>4.6000000000000006E-2</v>
      </c>
      <c r="Q14" s="44">
        <f t="shared" si="5"/>
        <v>944498.65857375285</v>
      </c>
      <c r="R14" s="40"/>
      <c r="S14" s="32">
        <f t="shared" si="6"/>
        <v>7</v>
      </c>
      <c r="T14" s="9">
        <f t="shared" si="7"/>
        <v>2</v>
      </c>
      <c r="U14" s="33">
        <f t="shared" si="8"/>
        <v>1</v>
      </c>
    </row>
    <row r="15" spans="1:21" x14ac:dyDescent="0.25">
      <c r="A15" s="18" t="s">
        <v>23</v>
      </c>
      <c r="B15" s="7">
        <v>0.92534000000000005</v>
      </c>
      <c r="C15" s="8">
        <v>0</v>
      </c>
      <c r="D15" s="8">
        <f>C15*B15</f>
        <v>0</v>
      </c>
      <c r="E15" s="189"/>
      <c r="H15" s="18">
        <f t="shared" si="0"/>
        <v>2029</v>
      </c>
      <c r="I15" s="13">
        <f t="shared" si="1"/>
        <v>43223.599999999991</v>
      </c>
      <c r="J15" s="14">
        <f t="shared" si="2"/>
        <v>4.2444405371139648E-3</v>
      </c>
      <c r="K15" s="6">
        <f t="shared" si="3"/>
        <v>10.199999999999999</v>
      </c>
      <c r="L15" s="66">
        <f t="shared" si="9"/>
        <v>3.1</v>
      </c>
      <c r="M15" s="66">
        <f t="shared" si="10"/>
        <v>0.2</v>
      </c>
      <c r="N15" s="45">
        <f t="shared" si="11"/>
        <v>3.4272</v>
      </c>
      <c r="O15" s="45">
        <f t="shared" si="12"/>
        <v>1.2090000000000001</v>
      </c>
      <c r="P15" s="19">
        <f t="shared" si="4"/>
        <v>4.6000000000000006E-2</v>
      </c>
      <c r="Q15" s="44">
        <f t="shared" si="5"/>
        <v>961522.56951895636</v>
      </c>
      <c r="R15" s="40"/>
      <c r="S15" s="32">
        <f t="shared" si="6"/>
        <v>7</v>
      </c>
      <c r="T15" s="9">
        <f t="shared" si="7"/>
        <v>2</v>
      </c>
      <c r="U15" s="33">
        <f t="shared" si="8"/>
        <v>1</v>
      </c>
    </row>
    <row r="16" spans="1:21" x14ac:dyDescent="0.25">
      <c r="A16" s="18" t="s">
        <v>24</v>
      </c>
      <c r="B16" s="7">
        <v>7.2569999999999996E-2</v>
      </c>
      <c r="C16" s="223">
        <v>28800</v>
      </c>
      <c r="D16" s="8">
        <f t="shared" ref="D16:D21" si="13">C16*B16</f>
        <v>2090.0160000000001</v>
      </c>
      <c r="E16" s="189"/>
      <c r="H16" s="18">
        <f t="shared" si="0"/>
        <v>2030</v>
      </c>
      <c r="I16" s="13">
        <f t="shared" si="1"/>
        <v>43407.05999999999</v>
      </c>
      <c r="J16" s="14">
        <f t="shared" si="2"/>
        <v>4.2265014032279351E-3</v>
      </c>
      <c r="K16" s="6">
        <f t="shared" si="3"/>
        <v>10.299999999999999</v>
      </c>
      <c r="L16" s="66">
        <f t="shared" si="9"/>
        <v>3.2</v>
      </c>
      <c r="M16" s="66">
        <f t="shared" si="10"/>
        <v>0.2</v>
      </c>
      <c r="N16" s="45">
        <f t="shared" si="11"/>
        <v>3.4607999999999999</v>
      </c>
      <c r="O16" s="45">
        <f t="shared" si="12"/>
        <v>1.2480000000000002</v>
      </c>
      <c r="P16" s="19">
        <f t="shared" si="4"/>
        <v>4.6000000000000006E-2</v>
      </c>
      <c r="Q16" s="44">
        <f t="shared" si="5"/>
        <v>978546.48046415974</v>
      </c>
      <c r="R16" s="40"/>
      <c r="S16" s="32">
        <f t="shared" si="6"/>
        <v>7</v>
      </c>
      <c r="T16" s="9">
        <f t="shared" si="7"/>
        <v>2</v>
      </c>
      <c r="U16" s="33">
        <f t="shared" si="8"/>
        <v>1</v>
      </c>
    </row>
    <row r="17" spans="1:21" x14ac:dyDescent="0.25">
      <c r="A17" s="18" t="s">
        <v>25</v>
      </c>
      <c r="B17" s="7">
        <v>1.98E-3</v>
      </c>
      <c r="C17" s="223">
        <v>451200</v>
      </c>
      <c r="D17" s="8">
        <f t="shared" si="13"/>
        <v>893.37599999999998</v>
      </c>
      <c r="E17" s="189"/>
      <c r="H17" s="18">
        <f t="shared" si="0"/>
        <v>2031</v>
      </c>
      <c r="I17" s="13">
        <f t="shared" si="1"/>
        <v>43590.51999999999</v>
      </c>
      <c r="J17" s="14">
        <f t="shared" si="2"/>
        <v>4.2087132706836068E-3</v>
      </c>
      <c r="K17" s="6">
        <f t="shared" si="3"/>
        <v>10.4</v>
      </c>
      <c r="L17" s="66">
        <f t="shared" si="9"/>
        <v>3.3000000000000003</v>
      </c>
      <c r="M17" s="66">
        <f t="shared" si="10"/>
        <v>0.2</v>
      </c>
      <c r="N17" s="45">
        <f t="shared" si="11"/>
        <v>3.4944000000000002</v>
      </c>
      <c r="O17" s="45">
        <f t="shared" si="12"/>
        <v>1.2870000000000001</v>
      </c>
      <c r="P17" s="19">
        <f t="shared" si="4"/>
        <v>4.6000000000000006E-2</v>
      </c>
      <c r="Q17" s="44">
        <f t="shared" si="5"/>
        <v>995570.39140936313</v>
      </c>
      <c r="R17" s="40"/>
      <c r="S17" s="32">
        <f t="shared" si="6"/>
        <v>7</v>
      </c>
      <c r="T17" s="9">
        <f t="shared" si="7"/>
        <v>3</v>
      </c>
      <c r="U17" s="33">
        <f t="shared" si="8"/>
        <v>1</v>
      </c>
    </row>
    <row r="18" spans="1:21" x14ac:dyDescent="0.25">
      <c r="A18" s="18" t="s">
        <v>26</v>
      </c>
      <c r="B18" s="7">
        <v>8.0000000000000007E-5</v>
      </c>
      <c r="C18" s="223">
        <v>1008000</v>
      </c>
      <c r="D18" s="8">
        <f t="shared" si="13"/>
        <v>80.64</v>
      </c>
      <c r="E18" s="189"/>
      <c r="H18" s="18">
        <f t="shared" si="0"/>
        <v>2032</v>
      </c>
      <c r="I18" s="13">
        <f t="shared" si="1"/>
        <v>43773.979999999989</v>
      </c>
      <c r="J18" s="14">
        <f t="shared" si="2"/>
        <v>4.1910742409074792E-3</v>
      </c>
      <c r="K18" s="6">
        <f t="shared" si="3"/>
        <v>10.5</v>
      </c>
      <c r="L18" s="66">
        <f t="shared" si="9"/>
        <v>3.4</v>
      </c>
      <c r="M18" s="66">
        <f t="shared" si="10"/>
        <v>0.2</v>
      </c>
      <c r="N18" s="45">
        <f t="shared" si="11"/>
        <v>3.528</v>
      </c>
      <c r="O18" s="45">
        <f t="shared" si="12"/>
        <v>1.3260000000000001</v>
      </c>
      <c r="P18" s="19">
        <f t="shared" si="4"/>
        <v>4.6000000000000006E-2</v>
      </c>
      <c r="Q18" s="44">
        <f t="shared" si="5"/>
        <v>1012594.3023545665</v>
      </c>
      <c r="R18" s="40"/>
      <c r="S18" s="32">
        <f t="shared" si="6"/>
        <v>7</v>
      </c>
      <c r="T18" s="9">
        <f t="shared" si="7"/>
        <v>3</v>
      </c>
      <c r="U18" s="33">
        <f t="shared" si="8"/>
        <v>1</v>
      </c>
    </row>
    <row r="19" spans="1:21" x14ac:dyDescent="0.25">
      <c r="A19" s="18" t="s">
        <v>27</v>
      </c>
      <c r="B19" s="7">
        <v>0</v>
      </c>
      <c r="C19" s="223">
        <v>2553600</v>
      </c>
      <c r="D19" s="8">
        <f t="shared" si="13"/>
        <v>0</v>
      </c>
      <c r="E19" s="189"/>
      <c r="H19" s="18">
        <f t="shared" si="0"/>
        <v>2033</v>
      </c>
      <c r="I19" s="13">
        <f t="shared" si="1"/>
        <v>43957.439999999988</v>
      </c>
      <c r="J19" s="14">
        <f t="shared" si="2"/>
        <v>4.1735824470214636E-3</v>
      </c>
      <c r="K19" s="6">
        <f t="shared" si="3"/>
        <v>10.6</v>
      </c>
      <c r="L19" s="66">
        <f t="shared" si="9"/>
        <v>3.5</v>
      </c>
      <c r="M19" s="66">
        <f t="shared" si="10"/>
        <v>0.2</v>
      </c>
      <c r="N19" s="45">
        <f t="shared" si="11"/>
        <v>3.5616000000000003</v>
      </c>
      <c r="O19" s="45">
        <f t="shared" si="12"/>
        <v>1.365</v>
      </c>
      <c r="P19" s="19">
        <f t="shared" si="4"/>
        <v>4.6000000000000006E-2</v>
      </c>
      <c r="Q19" s="44">
        <f t="shared" si="5"/>
        <v>1029618.2132997697</v>
      </c>
      <c r="R19" s="40"/>
      <c r="S19" s="32">
        <f t="shared" si="6"/>
        <v>8</v>
      </c>
      <c r="T19" s="9">
        <f t="shared" si="7"/>
        <v>3</v>
      </c>
      <c r="U19" s="33">
        <f t="shared" si="8"/>
        <v>1</v>
      </c>
    </row>
    <row r="20" spans="1:21" x14ac:dyDescent="0.25">
      <c r="A20" s="18" t="s">
        <v>28</v>
      </c>
      <c r="B20" s="7">
        <v>3.0000000000000001E-5</v>
      </c>
      <c r="C20" s="223">
        <v>5692800</v>
      </c>
      <c r="D20" s="8">
        <f t="shared" si="13"/>
        <v>170.78399999999999</v>
      </c>
      <c r="E20" s="189"/>
      <c r="H20" s="18">
        <f t="shared" si="0"/>
        <v>2034</v>
      </c>
      <c r="I20" s="13">
        <f t="shared" si="1"/>
        <v>44140.899999999987</v>
      </c>
      <c r="J20" s="14">
        <f t="shared" si="2"/>
        <v>4.1562360531842164E-3</v>
      </c>
      <c r="K20" s="6">
        <f t="shared" si="3"/>
        <v>10.7</v>
      </c>
      <c r="L20" s="66">
        <f t="shared" si="9"/>
        <v>3.6</v>
      </c>
      <c r="M20" s="66">
        <f t="shared" si="10"/>
        <v>0.2</v>
      </c>
      <c r="N20" s="45">
        <f t="shared" si="11"/>
        <v>3.5952000000000002</v>
      </c>
      <c r="O20" s="45">
        <f t="shared" si="12"/>
        <v>1.4040000000000001</v>
      </c>
      <c r="P20" s="19">
        <f t="shared" si="4"/>
        <v>4.6000000000000006E-2</v>
      </c>
      <c r="Q20" s="44">
        <f t="shared" si="5"/>
        <v>1046642.1242449733</v>
      </c>
      <c r="R20" s="40"/>
      <c r="S20" s="32">
        <f t="shared" si="6"/>
        <v>8</v>
      </c>
      <c r="T20" s="9">
        <f t="shared" si="7"/>
        <v>3</v>
      </c>
      <c r="U20" s="33">
        <f t="shared" si="8"/>
        <v>1</v>
      </c>
    </row>
    <row r="21" spans="1:21" x14ac:dyDescent="0.25">
      <c r="A21" s="18" t="s">
        <v>29</v>
      </c>
      <c r="B21" s="7">
        <v>0</v>
      </c>
      <c r="C21" s="223">
        <v>9600000</v>
      </c>
      <c r="D21" s="8">
        <f t="shared" si="13"/>
        <v>0</v>
      </c>
      <c r="E21" s="189"/>
      <c r="H21" s="18">
        <f t="shared" si="0"/>
        <v>2035</v>
      </c>
      <c r="I21" s="13">
        <f t="shared" si="1"/>
        <v>44324.359999999986</v>
      </c>
      <c r="J21" s="14">
        <f t="shared" si="2"/>
        <v>4.1390332539488258E-3</v>
      </c>
      <c r="K21" s="6">
        <f t="shared" si="3"/>
        <v>10.799999999999999</v>
      </c>
      <c r="L21" s="66">
        <f t="shared" si="9"/>
        <v>3.7</v>
      </c>
      <c r="M21" s="66">
        <f t="shared" si="10"/>
        <v>0.2</v>
      </c>
      <c r="N21" s="45">
        <f t="shared" si="11"/>
        <v>3.6288</v>
      </c>
      <c r="O21" s="45">
        <f t="shared" si="12"/>
        <v>1.4430000000000001</v>
      </c>
      <c r="P21" s="19">
        <f t="shared" si="4"/>
        <v>4.6000000000000006E-2</v>
      </c>
      <c r="Q21" s="44">
        <f t="shared" si="5"/>
        <v>1063666.0351901767</v>
      </c>
      <c r="R21" s="40"/>
      <c r="S21" s="32">
        <f t="shared" si="6"/>
        <v>8</v>
      </c>
      <c r="T21" s="9">
        <f t="shared" si="7"/>
        <v>3</v>
      </c>
      <c r="U21" s="33">
        <f t="shared" si="8"/>
        <v>1</v>
      </c>
    </row>
    <row r="22" spans="1:21" ht="15.75" thickBot="1" x14ac:dyDescent="0.3">
      <c r="A22" s="34"/>
      <c r="B22" s="21"/>
      <c r="C22" s="222" t="s">
        <v>30</v>
      </c>
      <c r="D22" s="190">
        <f>SUM(D15:D21)</f>
        <v>3234.8159999999998</v>
      </c>
      <c r="E22" s="174"/>
      <c r="H22" s="18">
        <f t="shared" si="0"/>
        <v>2036</v>
      </c>
      <c r="I22" s="13">
        <f t="shared" si="1"/>
        <v>44507.819999999985</v>
      </c>
      <c r="J22" s="14">
        <f t="shared" si="2"/>
        <v>4.1219722736363902E-3</v>
      </c>
      <c r="K22" s="6">
        <f t="shared" si="3"/>
        <v>10.9</v>
      </c>
      <c r="L22" s="66">
        <f t="shared" si="9"/>
        <v>3.8000000000000003</v>
      </c>
      <c r="M22" s="66">
        <f t="shared" si="10"/>
        <v>0.2</v>
      </c>
      <c r="N22" s="45">
        <f t="shared" si="11"/>
        <v>3.6624000000000003</v>
      </c>
      <c r="O22" s="45">
        <f t="shared" si="12"/>
        <v>1.4820000000000002</v>
      </c>
      <c r="P22" s="19">
        <f t="shared" si="4"/>
        <v>4.6000000000000006E-2</v>
      </c>
      <c r="Q22" s="44">
        <f t="shared" si="5"/>
        <v>1080689.9461353801</v>
      </c>
      <c r="R22" s="40"/>
      <c r="S22" s="32">
        <f t="shared" si="6"/>
        <v>8</v>
      </c>
      <c r="T22" s="9">
        <f t="shared" si="7"/>
        <v>3</v>
      </c>
      <c r="U22" s="33">
        <f t="shared" si="8"/>
        <v>1</v>
      </c>
    </row>
    <row r="23" spans="1:21" x14ac:dyDescent="0.25">
      <c r="A23" s="89" t="s">
        <v>88</v>
      </c>
      <c r="H23" s="18">
        <f t="shared" si="0"/>
        <v>2037</v>
      </c>
      <c r="I23" s="13">
        <f t="shared" si="1"/>
        <v>44691.279999999984</v>
      </c>
      <c r="J23" s="14">
        <f t="shared" si="2"/>
        <v>4.1050513657250182E-3</v>
      </c>
      <c r="K23" s="6">
        <f t="shared" si="3"/>
        <v>11</v>
      </c>
      <c r="L23" s="66">
        <f t="shared" si="9"/>
        <v>3.9</v>
      </c>
      <c r="M23" s="66">
        <f t="shared" si="10"/>
        <v>0.2</v>
      </c>
      <c r="N23" s="45">
        <f t="shared" si="11"/>
        <v>3.6960000000000002</v>
      </c>
      <c r="O23" s="45">
        <f t="shared" si="12"/>
        <v>1.5209999999999999</v>
      </c>
      <c r="P23" s="19">
        <f t="shared" si="4"/>
        <v>4.6000000000000006E-2</v>
      </c>
      <c r="Q23" s="44">
        <f t="shared" si="5"/>
        <v>1097713.8570805832</v>
      </c>
      <c r="R23" s="40"/>
      <c r="S23" s="32">
        <f t="shared" si="6"/>
        <v>8</v>
      </c>
      <c r="T23" s="9">
        <f t="shared" si="7"/>
        <v>3</v>
      </c>
      <c r="U23" s="33">
        <f t="shared" si="8"/>
        <v>1</v>
      </c>
    </row>
    <row r="24" spans="1:21" ht="15.75" thickBot="1" x14ac:dyDescent="0.3">
      <c r="H24" s="18">
        <f t="shared" si="0"/>
        <v>2038</v>
      </c>
      <c r="I24" s="13">
        <f t="shared" si="1"/>
        <v>44874.739999999983</v>
      </c>
      <c r="J24" s="14">
        <f t="shared" si="2"/>
        <v>4.0882688122538249E-3</v>
      </c>
      <c r="K24" s="6">
        <f t="shared" si="3"/>
        <v>11.1</v>
      </c>
      <c r="L24" s="66">
        <f t="shared" si="9"/>
        <v>4</v>
      </c>
      <c r="M24" s="66">
        <f t="shared" si="10"/>
        <v>0.2</v>
      </c>
      <c r="N24" s="45">
        <f t="shared" si="11"/>
        <v>3.7296</v>
      </c>
      <c r="O24" s="45">
        <f t="shared" si="12"/>
        <v>1.56</v>
      </c>
      <c r="P24" s="19">
        <f t="shared" si="4"/>
        <v>4.6000000000000006E-2</v>
      </c>
      <c r="Q24" s="44">
        <f t="shared" si="5"/>
        <v>1114737.7680257866</v>
      </c>
      <c r="R24" s="40"/>
      <c r="S24" s="32">
        <f t="shared" si="6"/>
        <v>8</v>
      </c>
      <c r="T24" s="9">
        <f t="shared" si="7"/>
        <v>3</v>
      </c>
      <c r="U24" s="33">
        <f t="shared" si="8"/>
        <v>1</v>
      </c>
    </row>
    <row r="25" spans="1:21" ht="15.75" thickBot="1" x14ac:dyDescent="0.3">
      <c r="A25" s="46" t="s">
        <v>7</v>
      </c>
      <c r="B25" s="197" t="s">
        <v>21</v>
      </c>
      <c r="C25" s="197" t="s">
        <v>21</v>
      </c>
      <c r="H25" s="18">
        <f t="shared" si="0"/>
        <v>2039</v>
      </c>
      <c r="I25" s="13">
        <f t="shared" si="1"/>
        <v>45058.199999999983</v>
      </c>
      <c r="J25" s="14">
        <f t="shared" si="2"/>
        <v>4.0716229232414785E-3</v>
      </c>
      <c r="K25" s="6">
        <f t="shared" si="3"/>
        <v>11.2</v>
      </c>
      <c r="L25" s="66">
        <f t="shared" si="9"/>
        <v>4.0999999999999996</v>
      </c>
      <c r="M25" s="66">
        <f t="shared" si="10"/>
        <v>0.2</v>
      </c>
      <c r="N25" s="45">
        <f t="shared" si="11"/>
        <v>3.7631999999999999</v>
      </c>
      <c r="O25" s="45">
        <f t="shared" si="12"/>
        <v>1.599</v>
      </c>
      <c r="P25" s="19">
        <f t="shared" si="4"/>
        <v>4.6000000000000006E-2</v>
      </c>
      <c r="Q25" s="44">
        <f t="shared" si="5"/>
        <v>1131761.67897099</v>
      </c>
      <c r="R25" s="40"/>
      <c r="S25" s="32">
        <f t="shared" si="6"/>
        <v>8</v>
      </c>
      <c r="T25" s="9">
        <f t="shared" si="7"/>
        <v>3</v>
      </c>
      <c r="U25" s="33">
        <f t="shared" si="8"/>
        <v>1</v>
      </c>
    </row>
    <row r="26" spans="1:21" x14ac:dyDescent="0.25">
      <c r="A26" s="191" t="s">
        <v>8</v>
      </c>
      <c r="B26" s="192">
        <v>4252</v>
      </c>
      <c r="C26" s="198">
        <f>B26*(GDP!B7)</f>
        <v>4252</v>
      </c>
      <c r="H26" s="18">
        <f t="shared" si="0"/>
        <v>2040</v>
      </c>
      <c r="I26" s="13">
        <f t="shared" si="1"/>
        <v>45241.659999999982</v>
      </c>
      <c r="J26" s="14">
        <f t="shared" si="2"/>
        <v>4.0551120361189043E-3</v>
      </c>
      <c r="K26" s="6">
        <f t="shared" si="3"/>
        <v>11.299999999999999</v>
      </c>
      <c r="L26" s="66">
        <f t="shared" si="9"/>
        <v>4.1999999999999993</v>
      </c>
      <c r="M26" s="66">
        <f t="shared" si="10"/>
        <v>0.2</v>
      </c>
      <c r="N26" s="45">
        <f t="shared" si="11"/>
        <v>3.7967999999999997</v>
      </c>
      <c r="O26" s="45">
        <f t="shared" si="12"/>
        <v>1.6379999999999997</v>
      </c>
      <c r="P26" s="19">
        <f t="shared" si="4"/>
        <v>4.6000000000000006E-2</v>
      </c>
      <c r="Q26" s="44">
        <f t="shared" si="5"/>
        <v>1148785.5899161934</v>
      </c>
      <c r="R26" s="40"/>
      <c r="S26" s="32">
        <f t="shared" si="6"/>
        <v>8</v>
      </c>
      <c r="T26" s="9">
        <f t="shared" si="7"/>
        <v>3</v>
      </c>
      <c r="U26" s="33">
        <f t="shared" si="8"/>
        <v>1</v>
      </c>
    </row>
    <row r="27" spans="1:21" x14ac:dyDescent="0.25">
      <c r="A27" s="193" t="s">
        <v>9</v>
      </c>
      <c r="B27" s="194">
        <f>E6</f>
        <v>451200</v>
      </c>
      <c r="C27" s="132">
        <f>B27*(GDP!B7/GDP!B4)</f>
        <v>432847.27551803528</v>
      </c>
      <c r="H27" s="18">
        <f t="shared" si="0"/>
        <v>2041</v>
      </c>
      <c r="I27" s="13">
        <f t="shared" si="1"/>
        <v>45425.119999999981</v>
      </c>
      <c r="J27" s="14">
        <f t="shared" si="2"/>
        <v>4.0387345151757263E-3</v>
      </c>
      <c r="K27" s="6">
        <f t="shared" si="3"/>
        <v>11.4</v>
      </c>
      <c r="L27" s="66">
        <f t="shared" si="9"/>
        <v>4.3</v>
      </c>
      <c r="M27" s="66">
        <f t="shared" si="10"/>
        <v>0.2</v>
      </c>
      <c r="N27" s="45">
        <f t="shared" si="11"/>
        <v>3.8304000000000005</v>
      </c>
      <c r="O27" s="45">
        <f t="shared" si="12"/>
        <v>1.677</v>
      </c>
      <c r="P27" s="19">
        <f t="shared" si="4"/>
        <v>4.6000000000000006E-2</v>
      </c>
      <c r="Q27" s="44">
        <f t="shared" si="5"/>
        <v>1165809.5008613968</v>
      </c>
      <c r="R27" s="40"/>
      <c r="S27" s="32">
        <f t="shared" si="6"/>
        <v>8</v>
      </c>
      <c r="T27" s="9">
        <f t="shared" si="7"/>
        <v>3</v>
      </c>
      <c r="U27" s="33">
        <f t="shared" si="8"/>
        <v>1</v>
      </c>
    </row>
    <row r="28" spans="1:21" ht="15.75" thickBot="1" x14ac:dyDescent="0.3">
      <c r="A28" s="195" t="s">
        <v>10</v>
      </c>
      <c r="B28" s="196">
        <f>E10</f>
        <v>9600000</v>
      </c>
      <c r="C28" s="140">
        <f>B28*(GDP!B7/GDP!B4)</f>
        <v>9209516.5003837291</v>
      </c>
      <c r="H28" s="18">
        <f t="shared" si="0"/>
        <v>2042</v>
      </c>
      <c r="I28" s="13">
        <f t="shared" si="1"/>
        <v>45608.57999999998</v>
      </c>
      <c r="J28" s="14">
        <f t="shared" si="2"/>
        <v>4.0224887510200754E-3</v>
      </c>
      <c r="K28" s="6">
        <f t="shared" si="3"/>
        <v>11.5</v>
      </c>
      <c r="L28" s="66">
        <f t="shared" si="9"/>
        <v>4.3999999999999995</v>
      </c>
      <c r="M28" s="66">
        <f t="shared" si="10"/>
        <v>0.2</v>
      </c>
      <c r="N28" s="45">
        <f t="shared" si="11"/>
        <v>3.8640000000000003</v>
      </c>
      <c r="O28" s="45">
        <f t="shared" si="12"/>
        <v>1.7159999999999997</v>
      </c>
      <c r="P28" s="19">
        <f t="shared" si="4"/>
        <v>4.6000000000000006E-2</v>
      </c>
      <c r="Q28" s="44">
        <f t="shared" si="5"/>
        <v>1182833.4118065999</v>
      </c>
      <c r="R28" s="40"/>
      <c r="S28" s="32">
        <f t="shared" si="6"/>
        <v>8</v>
      </c>
      <c r="T28" s="9">
        <f t="shared" si="7"/>
        <v>3</v>
      </c>
      <c r="U28" s="33">
        <f t="shared" si="8"/>
        <v>1</v>
      </c>
    </row>
    <row r="29" spans="1:21" ht="15.75" thickBot="1" x14ac:dyDescent="0.3">
      <c r="H29" s="18">
        <f t="shared" si="0"/>
        <v>2043</v>
      </c>
      <c r="I29" s="13">
        <f t="shared" si="1"/>
        <v>45792.039999999979</v>
      </c>
      <c r="J29" s="14">
        <f t="shared" si="2"/>
        <v>4.0063731600513807E-3</v>
      </c>
      <c r="K29" s="6">
        <f t="shared" si="3"/>
        <v>11.6</v>
      </c>
      <c r="L29" s="66">
        <f t="shared" si="9"/>
        <v>4.5</v>
      </c>
      <c r="M29" s="66">
        <f t="shared" si="10"/>
        <v>0.2</v>
      </c>
      <c r="N29" s="45">
        <f t="shared" si="11"/>
        <v>3.8976000000000002</v>
      </c>
      <c r="O29" s="45">
        <f t="shared" si="12"/>
        <v>1.7550000000000001</v>
      </c>
      <c r="P29" s="19">
        <f t="shared" si="4"/>
        <v>4.6000000000000006E-2</v>
      </c>
      <c r="Q29" s="44">
        <f t="shared" si="5"/>
        <v>1199857.3227518036</v>
      </c>
      <c r="R29" s="40"/>
      <c r="S29" s="32">
        <f t="shared" si="6"/>
        <v>8</v>
      </c>
      <c r="T29" s="9">
        <f t="shared" si="7"/>
        <v>3</v>
      </c>
      <c r="U29" s="33">
        <f t="shared" si="8"/>
        <v>1</v>
      </c>
    </row>
    <row r="30" spans="1:21" ht="35.25" customHeight="1" thickBot="1" x14ac:dyDescent="0.3">
      <c r="A30" s="260" t="s">
        <v>121</v>
      </c>
      <c r="B30" s="255"/>
      <c r="C30" s="150" t="s">
        <v>31</v>
      </c>
      <c r="H30" s="18">
        <f t="shared" si="0"/>
        <v>2044</v>
      </c>
      <c r="I30" s="13">
        <f t="shared" si="1"/>
        <v>45975.499999999978</v>
      </c>
      <c r="J30" s="14">
        <f t="shared" si="2"/>
        <v>3.9903861839457799E-3</v>
      </c>
      <c r="K30" s="6">
        <f t="shared" si="3"/>
        <v>11.7</v>
      </c>
      <c r="L30" s="66">
        <f t="shared" si="9"/>
        <v>4.5999999999999996</v>
      </c>
      <c r="M30" s="66">
        <f t="shared" si="10"/>
        <v>0.2</v>
      </c>
      <c r="N30" s="45">
        <f t="shared" si="11"/>
        <v>3.9312</v>
      </c>
      <c r="O30" s="45">
        <f t="shared" si="12"/>
        <v>1.7939999999999998</v>
      </c>
      <c r="P30" s="19">
        <f t="shared" si="4"/>
        <v>4.6000000000000006E-2</v>
      </c>
      <c r="Q30" s="44">
        <f t="shared" si="5"/>
        <v>1216881.2336970067</v>
      </c>
      <c r="R30" s="40"/>
      <c r="S30" s="32">
        <f t="shared" si="6"/>
        <v>8</v>
      </c>
      <c r="T30" s="9">
        <f t="shared" si="7"/>
        <v>3</v>
      </c>
      <c r="U30" s="33">
        <f t="shared" si="8"/>
        <v>1</v>
      </c>
    </row>
    <row r="31" spans="1:21" x14ac:dyDescent="0.25">
      <c r="A31" s="199" t="s">
        <v>30</v>
      </c>
      <c r="B31" s="199">
        <f>B32+B33+B34</f>
        <v>114</v>
      </c>
      <c r="C31" s="202">
        <f>B31/10</f>
        <v>11.4</v>
      </c>
      <c r="H31" s="18">
        <f t="shared" si="0"/>
        <v>2045</v>
      </c>
      <c r="I31" s="13">
        <f t="shared" si="1"/>
        <v>46158.959999999977</v>
      </c>
      <c r="J31" s="14">
        <f t="shared" si="2"/>
        <v>3.9745262891538111E-3</v>
      </c>
      <c r="K31" s="6">
        <f t="shared" si="3"/>
        <v>11.799999999999999</v>
      </c>
      <c r="L31" s="66">
        <f t="shared" si="9"/>
        <v>4.6999999999999993</v>
      </c>
      <c r="M31" s="66">
        <f t="shared" si="10"/>
        <v>0.2</v>
      </c>
      <c r="N31" s="45">
        <f t="shared" si="11"/>
        <v>3.9647999999999999</v>
      </c>
      <c r="O31" s="45">
        <f t="shared" si="12"/>
        <v>1.8329999999999997</v>
      </c>
      <c r="P31" s="19">
        <f t="shared" si="4"/>
        <v>4.6000000000000006E-2</v>
      </c>
      <c r="Q31" s="44">
        <f t="shared" si="5"/>
        <v>1233905.1446422103</v>
      </c>
      <c r="R31" s="40"/>
      <c r="S31" s="32">
        <f t="shared" si="6"/>
        <v>8</v>
      </c>
      <c r="T31" s="9">
        <f t="shared" si="7"/>
        <v>3</v>
      </c>
      <c r="U31" s="33">
        <f t="shared" si="8"/>
        <v>1</v>
      </c>
    </row>
    <row r="32" spans="1:21" x14ac:dyDescent="0.25">
      <c r="A32" s="200" t="s">
        <v>8</v>
      </c>
      <c r="B32" s="200">
        <v>92</v>
      </c>
      <c r="C32" s="203">
        <f>B32/10</f>
        <v>9.1999999999999993</v>
      </c>
      <c r="H32" s="18">
        <f t="shared" si="0"/>
        <v>2046</v>
      </c>
      <c r="I32" s="13">
        <f t="shared" si="1"/>
        <v>46342.419999999976</v>
      </c>
      <c r="J32" s="14">
        <f t="shared" si="2"/>
        <v>3.9587919664100238E-3</v>
      </c>
      <c r="K32" s="6">
        <f t="shared" si="3"/>
        <v>11.9</v>
      </c>
      <c r="L32" s="66">
        <f t="shared" si="9"/>
        <v>4.8</v>
      </c>
      <c r="M32" s="66">
        <f t="shared" si="10"/>
        <v>0.2</v>
      </c>
      <c r="N32" s="45">
        <f t="shared" si="11"/>
        <v>3.9984000000000002</v>
      </c>
      <c r="O32" s="45">
        <f t="shared" si="12"/>
        <v>1.8719999999999999</v>
      </c>
      <c r="P32" s="19">
        <f t="shared" si="4"/>
        <v>4.6000000000000006E-2</v>
      </c>
      <c r="Q32" s="44">
        <f t="shared" si="5"/>
        <v>1250929.0555874137</v>
      </c>
      <c r="R32" s="40"/>
      <c r="S32" s="32">
        <f t="shared" si="6"/>
        <v>8</v>
      </c>
      <c r="T32" s="9">
        <f t="shared" si="7"/>
        <v>3</v>
      </c>
      <c r="U32" s="33">
        <f t="shared" si="8"/>
        <v>1</v>
      </c>
    </row>
    <row r="33" spans="1:21" x14ac:dyDescent="0.25">
      <c r="A33" s="200" t="s">
        <v>9</v>
      </c>
      <c r="B33" s="200">
        <v>21</v>
      </c>
      <c r="C33" s="203">
        <f>B33/10</f>
        <v>2.1</v>
      </c>
      <c r="H33" s="18">
        <f t="shared" si="0"/>
        <v>2047</v>
      </c>
      <c r="I33" s="13">
        <f t="shared" si="1"/>
        <v>46525.879999999976</v>
      </c>
      <c r="J33" s="14">
        <f t="shared" si="2"/>
        <v>3.9431817302541987E-3</v>
      </c>
      <c r="K33" s="6">
        <f t="shared" si="3"/>
        <v>12</v>
      </c>
      <c r="L33" s="66">
        <f t="shared" si="9"/>
        <v>4.8999999999999995</v>
      </c>
      <c r="M33" s="66">
        <f t="shared" si="10"/>
        <v>0.2</v>
      </c>
      <c r="N33" s="45">
        <f t="shared" si="11"/>
        <v>4.032</v>
      </c>
      <c r="O33" s="45">
        <f t="shared" si="12"/>
        <v>1.9109999999999998</v>
      </c>
      <c r="P33" s="19">
        <f t="shared" si="4"/>
        <v>4.6000000000000006E-2</v>
      </c>
      <c r="Q33" s="44">
        <f t="shared" si="5"/>
        <v>1267952.9665326169</v>
      </c>
      <c r="R33" s="40"/>
      <c r="S33" s="32">
        <f t="shared" si="6"/>
        <v>8</v>
      </c>
      <c r="T33" s="9">
        <f t="shared" si="7"/>
        <v>3</v>
      </c>
      <c r="U33" s="33">
        <f t="shared" si="8"/>
        <v>1</v>
      </c>
    </row>
    <row r="34" spans="1:21" ht="15.75" thickBot="1" x14ac:dyDescent="0.3">
      <c r="A34" s="201" t="s">
        <v>20</v>
      </c>
      <c r="B34" s="201">
        <v>1</v>
      </c>
      <c r="C34" s="204">
        <f>B34/10</f>
        <v>0.1</v>
      </c>
      <c r="H34" s="18">
        <f t="shared" si="0"/>
        <v>2048</v>
      </c>
      <c r="I34" s="13">
        <f t="shared" si="1"/>
        <v>46709.339999999975</v>
      </c>
      <c r="J34" s="14">
        <f t="shared" si="2"/>
        <v>3.9276941185638512E-3</v>
      </c>
      <c r="K34" s="6">
        <f t="shared" si="3"/>
        <v>12.1</v>
      </c>
      <c r="L34" s="66">
        <f t="shared" si="9"/>
        <v>5</v>
      </c>
      <c r="M34" s="66">
        <f t="shared" si="10"/>
        <v>0.2</v>
      </c>
      <c r="N34" s="45">
        <f t="shared" si="11"/>
        <v>4.0655999999999999</v>
      </c>
      <c r="O34" s="45">
        <f t="shared" si="12"/>
        <v>1.9500000000000002</v>
      </c>
      <c r="P34" s="19">
        <f t="shared" si="4"/>
        <v>4.6000000000000006E-2</v>
      </c>
      <c r="Q34" s="44">
        <f t="shared" si="5"/>
        <v>1284976.8774778205</v>
      </c>
      <c r="R34" s="40"/>
      <c r="S34" s="32">
        <f t="shared" si="6"/>
        <v>9</v>
      </c>
      <c r="T34" s="9">
        <f t="shared" si="7"/>
        <v>4</v>
      </c>
      <c r="U34" s="33">
        <f t="shared" si="8"/>
        <v>1</v>
      </c>
    </row>
    <row r="35" spans="1:21" x14ac:dyDescent="0.25">
      <c r="A35" s="259" t="s">
        <v>122</v>
      </c>
      <c r="B35" s="259"/>
      <c r="C35" s="259"/>
      <c r="D35" s="259"/>
      <c r="H35" s="18">
        <f t="shared" si="0"/>
        <v>2049</v>
      </c>
      <c r="I35" s="13">
        <f t="shared" si="1"/>
        <v>46892.799999999974</v>
      </c>
      <c r="J35" s="14">
        <f t="shared" si="2"/>
        <v>3.912327692097704E-3</v>
      </c>
      <c r="K35" s="6">
        <f t="shared" si="3"/>
        <v>12.2</v>
      </c>
      <c r="L35" s="66">
        <f t="shared" si="9"/>
        <v>5.0999999999999996</v>
      </c>
      <c r="M35" s="66">
        <f t="shared" si="10"/>
        <v>0.2</v>
      </c>
      <c r="N35" s="45">
        <f t="shared" si="11"/>
        <v>4.0991999999999997</v>
      </c>
      <c r="O35" s="45">
        <f t="shared" si="12"/>
        <v>1.9889999999999999</v>
      </c>
      <c r="P35" s="19">
        <f t="shared" si="4"/>
        <v>4.6000000000000006E-2</v>
      </c>
      <c r="Q35" s="44">
        <f t="shared" si="5"/>
        <v>1302000.7884230237</v>
      </c>
      <c r="R35" s="40"/>
      <c r="S35" s="32">
        <f t="shared" si="6"/>
        <v>9</v>
      </c>
      <c r="T35" s="9">
        <f t="shared" si="7"/>
        <v>4</v>
      </c>
      <c r="U35" s="33">
        <f t="shared" si="8"/>
        <v>1</v>
      </c>
    </row>
    <row r="36" spans="1:21" x14ac:dyDescent="0.25">
      <c r="A36" s="259"/>
      <c r="B36" s="259"/>
      <c r="C36" s="259"/>
      <c r="D36" s="259"/>
      <c r="H36" s="18">
        <f t="shared" si="0"/>
        <v>2050</v>
      </c>
      <c r="I36" s="13">
        <f t="shared" si="1"/>
        <v>47076.259999999973</v>
      </c>
      <c r="J36" s="14">
        <f t="shared" si="2"/>
        <v>3.8970810340498425E-3</v>
      </c>
      <c r="K36" s="6">
        <f t="shared" si="3"/>
        <v>12.299999999999999</v>
      </c>
      <c r="L36" s="66">
        <f t="shared" si="9"/>
        <v>5.1999999999999993</v>
      </c>
      <c r="M36" s="66">
        <f t="shared" si="10"/>
        <v>0.2</v>
      </c>
      <c r="N36" s="45">
        <f t="shared" si="11"/>
        <v>4.1327999999999996</v>
      </c>
      <c r="O36" s="45">
        <f t="shared" si="12"/>
        <v>2.0279999999999996</v>
      </c>
      <c r="P36" s="19">
        <f t="shared" si="4"/>
        <v>4.6000000000000006E-2</v>
      </c>
      <c r="Q36" s="44">
        <f t="shared" si="5"/>
        <v>1319024.699368227</v>
      </c>
      <c r="R36" s="40"/>
      <c r="S36" s="32">
        <f t="shared" si="6"/>
        <v>9</v>
      </c>
      <c r="T36" s="9">
        <f t="shared" si="7"/>
        <v>4</v>
      </c>
      <c r="U36" s="33">
        <f t="shared" si="8"/>
        <v>1</v>
      </c>
    </row>
    <row r="37" spans="1:21" x14ac:dyDescent="0.25">
      <c r="A37" s="259"/>
      <c r="B37" s="259"/>
      <c r="C37" s="259"/>
      <c r="D37" s="259"/>
      <c r="H37" s="18">
        <f t="shared" si="0"/>
        <v>2051</v>
      </c>
      <c r="I37" s="13">
        <f t="shared" si="1"/>
        <v>47259.719999999972</v>
      </c>
      <c r="J37" s="14">
        <f t="shared" si="2"/>
        <v>3.8819527496142432E-3</v>
      </c>
      <c r="K37" s="6">
        <f t="shared" si="3"/>
        <v>12.4</v>
      </c>
      <c r="L37" s="66">
        <f t="shared" si="9"/>
        <v>5.3</v>
      </c>
      <c r="M37" s="66">
        <f t="shared" si="10"/>
        <v>0.2</v>
      </c>
      <c r="N37" s="45">
        <f t="shared" si="11"/>
        <v>4.1664000000000003</v>
      </c>
      <c r="O37" s="45">
        <f t="shared" si="12"/>
        <v>2.0670000000000002</v>
      </c>
      <c r="P37" s="19">
        <f t="shared" si="4"/>
        <v>4.6000000000000006E-2</v>
      </c>
      <c r="Q37" s="44">
        <f t="shared" si="5"/>
        <v>1336048.6103134307</v>
      </c>
      <c r="R37" s="40"/>
      <c r="S37" s="32">
        <f t="shared" si="6"/>
        <v>9</v>
      </c>
      <c r="T37" s="9">
        <f t="shared" si="7"/>
        <v>4</v>
      </c>
      <c r="U37" s="33">
        <f t="shared" si="8"/>
        <v>1</v>
      </c>
    </row>
    <row r="38" spans="1:21" ht="15.75" thickBot="1" x14ac:dyDescent="0.3">
      <c r="A38" s="259"/>
      <c r="B38" s="259"/>
      <c r="C38" s="259"/>
      <c r="D38" s="259"/>
      <c r="H38" s="18">
        <f t="shared" si="0"/>
        <v>2052</v>
      </c>
      <c r="I38" s="13">
        <f t="shared" si="1"/>
        <v>47443.179999999971</v>
      </c>
      <c r="J38" s="14">
        <f t="shared" si="2"/>
        <v>3.8669414655594174E-3</v>
      </c>
      <c r="K38" s="6">
        <f t="shared" si="3"/>
        <v>12.5</v>
      </c>
      <c r="L38" s="66">
        <f t="shared" si="9"/>
        <v>5.3999999999999995</v>
      </c>
      <c r="M38" s="66">
        <f t="shared" si="10"/>
        <v>0.2</v>
      </c>
      <c r="N38" s="45">
        <f t="shared" si="11"/>
        <v>4.2</v>
      </c>
      <c r="O38" s="45">
        <f t="shared" si="12"/>
        <v>2.1059999999999999</v>
      </c>
      <c r="P38" s="19">
        <f t="shared" si="4"/>
        <v>4.6000000000000006E-2</v>
      </c>
      <c r="Q38" s="44">
        <f t="shared" si="5"/>
        <v>1353072.5212586338</v>
      </c>
      <c r="R38" s="40"/>
      <c r="S38" s="32">
        <f t="shared" si="6"/>
        <v>9</v>
      </c>
      <c r="T38" s="9">
        <f t="shared" si="7"/>
        <v>4</v>
      </c>
      <c r="U38" s="33">
        <f t="shared" si="8"/>
        <v>1</v>
      </c>
    </row>
    <row r="39" spans="1:21" ht="15.75" thickBot="1" x14ac:dyDescent="0.3">
      <c r="A39" s="41" t="s">
        <v>72</v>
      </c>
      <c r="B39" s="41"/>
      <c r="H39" s="18">
        <f t="shared" si="0"/>
        <v>2053</v>
      </c>
      <c r="I39" s="13">
        <f t="shared" si="1"/>
        <v>47626.63999999997</v>
      </c>
      <c r="J39" s="14">
        <f t="shared" si="2"/>
        <v>3.8520458298128787E-3</v>
      </c>
      <c r="K39" s="6">
        <f t="shared" si="3"/>
        <v>12.6</v>
      </c>
      <c r="L39" s="66">
        <f t="shared" si="9"/>
        <v>5.5</v>
      </c>
      <c r="M39" s="66">
        <f t="shared" si="10"/>
        <v>0.2</v>
      </c>
      <c r="N39" s="45">
        <f t="shared" si="11"/>
        <v>4.2336</v>
      </c>
      <c r="O39" s="45">
        <f t="shared" si="12"/>
        <v>2.145</v>
      </c>
      <c r="P39" s="19">
        <f t="shared" si="4"/>
        <v>4.6000000000000006E-2</v>
      </c>
      <c r="Q39" s="44">
        <f t="shared" si="5"/>
        <v>1370096.4322038372</v>
      </c>
      <c r="R39" s="40"/>
      <c r="S39" s="32">
        <f t="shared" si="6"/>
        <v>9</v>
      </c>
      <c r="T39" s="9">
        <f t="shared" si="7"/>
        <v>4</v>
      </c>
      <c r="U39" s="33">
        <f t="shared" si="8"/>
        <v>1</v>
      </c>
    </row>
    <row r="40" spans="1:21" ht="15.75" thickBot="1" x14ac:dyDescent="0.3">
      <c r="A40" s="74" t="s">
        <v>32</v>
      </c>
      <c r="B40" s="197" t="s">
        <v>21</v>
      </c>
      <c r="H40" s="18">
        <f t="shared" si="0"/>
        <v>2054</v>
      </c>
      <c r="I40" s="13">
        <f t="shared" si="1"/>
        <v>47810.099999999969</v>
      </c>
      <c r="J40" s="14">
        <f t="shared" si="2"/>
        <v>3.8372645110551795E-3</v>
      </c>
      <c r="K40" s="6">
        <f t="shared" si="3"/>
        <v>12.7</v>
      </c>
      <c r="L40" s="66">
        <f t="shared" si="9"/>
        <v>5.6</v>
      </c>
      <c r="M40" s="66">
        <f t="shared" si="10"/>
        <v>0.2</v>
      </c>
      <c r="N40" s="45">
        <f t="shared" si="11"/>
        <v>4.2671999999999999</v>
      </c>
      <c r="O40" s="45">
        <f t="shared" si="12"/>
        <v>2.1839999999999997</v>
      </c>
      <c r="P40" s="19">
        <f t="shared" si="4"/>
        <v>4.6000000000000006E-2</v>
      </c>
      <c r="Q40" s="44">
        <f t="shared" si="5"/>
        <v>1387120.3431490406</v>
      </c>
      <c r="R40" s="40"/>
      <c r="S40" s="32">
        <f t="shared" si="6"/>
        <v>9</v>
      </c>
      <c r="T40" s="9">
        <f t="shared" si="7"/>
        <v>4</v>
      </c>
      <c r="U40" s="33">
        <f t="shared" si="8"/>
        <v>1</v>
      </c>
    </row>
    <row r="41" spans="1:21" x14ac:dyDescent="0.25">
      <c r="A41" s="229" t="s">
        <v>8</v>
      </c>
      <c r="B41" s="230">
        <f>C32*C26</f>
        <v>39118.399999999994</v>
      </c>
      <c r="H41" s="18">
        <f t="shared" si="0"/>
        <v>2055</v>
      </c>
      <c r="I41" s="13">
        <f t="shared" si="1"/>
        <v>47993.559999999969</v>
      </c>
      <c r="J41" s="14">
        <f t="shared" si="2"/>
        <v>3.8225961983232594E-3</v>
      </c>
      <c r="K41" s="6">
        <f t="shared" si="3"/>
        <v>12.799999999999999</v>
      </c>
      <c r="L41" s="66">
        <f t="shared" si="9"/>
        <v>5.6999999999999993</v>
      </c>
      <c r="M41" s="66">
        <f t="shared" si="10"/>
        <v>0.2</v>
      </c>
      <c r="N41" s="45">
        <f t="shared" si="11"/>
        <v>4.3007999999999997</v>
      </c>
      <c r="O41" s="45">
        <f t="shared" si="12"/>
        <v>2.2229999999999999</v>
      </c>
      <c r="P41" s="19">
        <f t="shared" si="4"/>
        <v>4.6000000000000006E-2</v>
      </c>
      <c r="Q41" s="44">
        <f t="shared" si="5"/>
        <v>1404144.254094244</v>
      </c>
      <c r="R41" s="40"/>
      <c r="S41" s="32">
        <f t="shared" si="6"/>
        <v>9</v>
      </c>
      <c r="T41" s="9">
        <f t="shared" si="7"/>
        <v>4</v>
      </c>
      <c r="U41" s="33">
        <f t="shared" si="8"/>
        <v>1</v>
      </c>
    </row>
    <row r="42" spans="1:21" x14ac:dyDescent="0.25">
      <c r="A42" s="193" t="s">
        <v>9</v>
      </c>
      <c r="B42" s="206">
        <f>C33*C27</f>
        <v>908979.27858787414</v>
      </c>
      <c r="H42" s="18">
        <f t="shared" si="0"/>
        <v>2056</v>
      </c>
      <c r="I42" s="13">
        <f t="shared" si="1"/>
        <v>48177.019999999968</v>
      </c>
      <c r="J42" s="14">
        <f t="shared" si="2"/>
        <v>3.808039600622854E-3</v>
      </c>
      <c r="K42" s="6">
        <f t="shared" si="3"/>
        <v>12.9</v>
      </c>
      <c r="L42" s="66">
        <f t="shared" si="9"/>
        <v>5.8</v>
      </c>
      <c r="M42" s="66">
        <f t="shared" si="10"/>
        <v>0.2</v>
      </c>
      <c r="N42" s="45">
        <f t="shared" si="11"/>
        <v>4.3344000000000005</v>
      </c>
      <c r="O42" s="45">
        <f t="shared" si="12"/>
        <v>2.262</v>
      </c>
      <c r="P42" s="19">
        <f t="shared" si="4"/>
        <v>4.6000000000000006E-2</v>
      </c>
      <c r="Q42" s="44">
        <f t="shared" si="5"/>
        <v>1421168.1650394474</v>
      </c>
      <c r="R42" s="40"/>
      <c r="S42" s="32">
        <f t="shared" si="6"/>
        <v>9</v>
      </c>
      <c r="T42" s="9">
        <f t="shared" si="7"/>
        <v>4</v>
      </c>
      <c r="U42" s="33">
        <f t="shared" si="8"/>
        <v>1</v>
      </c>
    </row>
    <row r="43" spans="1:21" ht="15.75" thickBot="1" x14ac:dyDescent="0.3">
      <c r="A43" s="195" t="s">
        <v>20</v>
      </c>
      <c r="B43" s="207">
        <f>C34*C28</f>
        <v>920951.65003837296</v>
      </c>
      <c r="H43" s="18">
        <f t="shared" si="0"/>
        <v>2057</v>
      </c>
      <c r="I43" s="13">
        <f t="shared" si="1"/>
        <v>48360.479999999967</v>
      </c>
      <c r="J43" s="14">
        <f t="shared" si="2"/>
        <v>3.7935934465497291E-3</v>
      </c>
      <c r="K43" s="6">
        <f t="shared" si="3"/>
        <v>13</v>
      </c>
      <c r="L43" s="66">
        <f t="shared" si="9"/>
        <v>5.8999999999999995</v>
      </c>
      <c r="M43" s="66">
        <f t="shared" si="10"/>
        <v>0.2</v>
      </c>
      <c r="N43" s="45">
        <f t="shared" si="11"/>
        <v>4.3680000000000003</v>
      </c>
      <c r="O43" s="45">
        <f t="shared" si="12"/>
        <v>2.3009999999999997</v>
      </c>
      <c r="P43" s="19">
        <f t="shared" si="4"/>
        <v>4.6000000000000006E-2</v>
      </c>
      <c r="Q43" s="44">
        <f t="shared" si="5"/>
        <v>1438192.0759846508</v>
      </c>
      <c r="R43" s="40"/>
      <c r="S43" s="32">
        <f t="shared" si="6"/>
        <v>9</v>
      </c>
      <c r="T43" s="9">
        <f t="shared" si="7"/>
        <v>4</v>
      </c>
      <c r="U43" s="33">
        <f t="shared" si="8"/>
        <v>1</v>
      </c>
    </row>
    <row r="44" spans="1:21" ht="15.75" thickBot="1" x14ac:dyDescent="0.3">
      <c r="A44" s="175" t="s">
        <v>33</v>
      </c>
      <c r="B44" s="205">
        <f>SUM(B41:B43)</f>
        <v>1869049.3286262471</v>
      </c>
      <c r="H44" s="18">
        <f t="shared" si="0"/>
        <v>2058</v>
      </c>
      <c r="I44" s="13">
        <f t="shared" si="1"/>
        <v>48543.939999999966</v>
      </c>
      <c r="J44" s="14">
        <f t="shared" si="2"/>
        <v>3.7792564839195016E-3</v>
      </c>
      <c r="K44" s="6">
        <f t="shared" si="3"/>
        <v>13.1</v>
      </c>
      <c r="L44" s="66">
        <f t="shared" si="9"/>
        <v>6</v>
      </c>
      <c r="M44" s="66">
        <f t="shared" si="10"/>
        <v>0.2</v>
      </c>
      <c r="N44" s="45">
        <f t="shared" si="11"/>
        <v>4.4016000000000002</v>
      </c>
      <c r="O44" s="45">
        <f t="shared" si="12"/>
        <v>2.34</v>
      </c>
      <c r="P44" s="19">
        <f t="shared" si="4"/>
        <v>4.6000000000000006E-2</v>
      </c>
      <c r="Q44" s="44">
        <f t="shared" si="5"/>
        <v>1455215.9869298541</v>
      </c>
      <c r="R44" s="40"/>
      <c r="S44" s="32">
        <f t="shared" si="6"/>
        <v>9</v>
      </c>
      <c r="T44" s="9">
        <f t="shared" si="7"/>
        <v>4</v>
      </c>
      <c r="U44" s="33">
        <f t="shared" si="8"/>
        <v>1</v>
      </c>
    </row>
    <row r="45" spans="1:21" x14ac:dyDescent="0.25">
      <c r="H45" s="18">
        <f t="shared" si="0"/>
        <v>2059</v>
      </c>
      <c r="I45" s="13">
        <f t="shared" si="1"/>
        <v>48727.399999999965</v>
      </c>
      <c r="J45" s="14">
        <f t="shared" si="2"/>
        <v>3.7650274794058221E-3</v>
      </c>
      <c r="K45" s="6">
        <f t="shared" si="3"/>
        <v>13.2</v>
      </c>
      <c r="L45" s="66">
        <f t="shared" si="9"/>
        <v>6.1</v>
      </c>
      <c r="M45" s="66">
        <f t="shared" si="10"/>
        <v>0.2</v>
      </c>
      <c r="N45" s="45">
        <f t="shared" si="11"/>
        <v>4.4352</v>
      </c>
      <c r="O45" s="45">
        <f t="shared" si="12"/>
        <v>2.379</v>
      </c>
      <c r="P45" s="19">
        <f t="shared" si="4"/>
        <v>4.6000000000000006E-2</v>
      </c>
      <c r="Q45" s="44">
        <f t="shared" si="5"/>
        <v>1472239.8978750578</v>
      </c>
      <c r="R45" s="40"/>
      <c r="S45" s="32">
        <f t="shared" si="6"/>
        <v>9</v>
      </c>
      <c r="T45" s="9">
        <f t="shared" si="7"/>
        <v>4</v>
      </c>
      <c r="U45" s="33">
        <f t="shared" si="8"/>
        <v>1</v>
      </c>
    </row>
    <row r="46" spans="1:21" x14ac:dyDescent="0.25">
      <c r="H46" s="18">
        <f t="shared" si="0"/>
        <v>2060</v>
      </c>
      <c r="I46" s="13">
        <f t="shared" si="1"/>
        <v>48910.859999999964</v>
      </c>
      <c r="J46" s="14">
        <f t="shared" si="2"/>
        <v>3.7509052181867023E-3</v>
      </c>
      <c r="K46" s="6">
        <f t="shared" si="3"/>
        <v>13.299999999999999</v>
      </c>
      <c r="L46" s="66">
        <f t="shared" si="9"/>
        <v>6.1999999999999993</v>
      </c>
      <c r="M46" s="66">
        <f t="shared" si="10"/>
        <v>0.2</v>
      </c>
      <c r="N46" s="45">
        <f t="shared" si="11"/>
        <v>4.4687999999999999</v>
      </c>
      <c r="O46" s="45">
        <f t="shared" si="12"/>
        <v>2.4179999999999997</v>
      </c>
      <c r="P46" s="19">
        <f t="shared" si="4"/>
        <v>4.6000000000000006E-2</v>
      </c>
      <c r="Q46" s="44">
        <f t="shared" si="5"/>
        <v>1489263.8088202609</v>
      </c>
      <c r="R46" s="40"/>
      <c r="S46" s="32">
        <f t="shared" si="6"/>
        <v>9</v>
      </c>
      <c r="T46" s="9">
        <f t="shared" si="7"/>
        <v>4</v>
      </c>
      <c r="U46" s="33">
        <f t="shared" si="8"/>
        <v>1</v>
      </c>
    </row>
    <row r="47" spans="1:21" x14ac:dyDescent="0.25">
      <c r="H47" s="18">
        <f t="shared" si="0"/>
        <v>2061</v>
      </c>
      <c r="I47" s="13">
        <f t="shared" si="1"/>
        <v>49094.319999999963</v>
      </c>
      <c r="J47" s="14">
        <f t="shared" si="2"/>
        <v>3.7368885035987719E-3</v>
      </c>
      <c r="K47" s="6">
        <f t="shared" si="3"/>
        <v>13.4</v>
      </c>
      <c r="L47" s="66">
        <f t="shared" si="9"/>
        <v>6.3</v>
      </c>
      <c r="M47" s="66">
        <f t="shared" si="10"/>
        <v>0.2</v>
      </c>
      <c r="N47" s="45">
        <f t="shared" si="11"/>
        <v>4.5024000000000006</v>
      </c>
      <c r="O47" s="45">
        <f t="shared" si="12"/>
        <v>2.4569999999999999</v>
      </c>
      <c r="P47" s="19">
        <f t="shared" si="4"/>
        <v>4.6000000000000006E-2</v>
      </c>
      <c r="Q47" s="44">
        <f t="shared" si="5"/>
        <v>1506287.7197654643</v>
      </c>
      <c r="R47" s="40"/>
      <c r="S47" s="32">
        <f t="shared" si="6"/>
        <v>9</v>
      </c>
      <c r="T47" s="9">
        <f t="shared" si="7"/>
        <v>4</v>
      </c>
      <c r="U47" s="33">
        <f t="shared" si="8"/>
        <v>1</v>
      </c>
    </row>
    <row r="48" spans="1:21" x14ac:dyDescent="0.25">
      <c r="H48" s="18">
        <f t="shared" si="0"/>
        <v>2062</v>
      </c>
      <c r="I48" s="13">
        <f t="shared" si="1"/>
        <v>49277.779999999962</v>
      </c>
      <c r="J48" s="14">
        <f t="shared" si="2"/>
        <v>3.7229761567992565E-3</v>
      </c>
      <c r="K48" s="6">
        <f t="shared" si="3"/>
        <v>13.5</v>
      </c>
      <c r="L48" s="66">
        <f t="shared" si="9"/>
        <v>6.3999999999999995</v>
      </c>
      <c r="M48" s="66">
        <f t="shared" si="10"/>
        <v>0.2</v>
      </c>
      <c r="N48" s="45">
        <f t="shared" si="11"/>
        <v>4.5360000000000005</v>
      </c>
      <c r="O48" s="45">
        <f t="shared" si="12"/>
        <v>2.496</v>
      </c>
      <c r="P48" s="19">
        <f t="shared" si="4"/>
        <v>4.6000000000000006E-2</v>
      </c>
      <c r="Q48" s="44">
        <f t="shared" si="5"/>
        <v>1523311.6307106677</v>
      </c>
      <c r="R48" s="40"/>
      <c r="S48" s="32">
        <f t="shared" si="6"/>
        <v>9</v>
      </c>
      <c r="T48" s="9">
        <f t="shared" si="7"/>
        <v>4</v>
      </c>
      <c r="U48" s="33">
        <f t="shared" si="8"/>
        <v>1</v>
      </c>
    </row>
    <row r="49" spans="8:21" x14ac:dyDescent="0.25">
      <c r="H49" s="18">
        <f t="shared" si="0"/>
        <v>2063</v>
      </c>
      <c r="I49" s="13">
        <f t="shared" si="1"/>
        <v>49461.239999999962</v>
      </c>
      <c r="J49" s="14">
        <f t="shared" si="2"/>
        <v>3.7091670164354808E-3</v>
      </c>
      <c r="K49" s="6">
        <f t="shared" si="3"/>
        <v>13.6</v>
      </c>
      <c r="L49" s="66">
        <f t="shared" si="9"/>
        <v>6.5</v>
      </c>
      <c r="M49" s="66">
        <f t="shared" si="10"/>
        <v>0.2</v>
      </c>
      <c r="N49" s="45">
        <f t="shared" si="11"/>
        <v>4.5696000000000003</v>
      </c>
      <c r="O49" s="45">
        <f t="shared" si="12"/>
        <v>2.5350000000000001</v>
      </c>
      <c r="P49" s="19">
        <f t="shared" si="4"/>
        <v>4.6000000000000006E-2</v>
      </c>
      <c r="Q49" s="44">
        <f t="shared" si="5"/>
        <v>1540335.5416558711</v>
      </c>
      <c r="R49" s="40"/>
      <c r="S49" s="32">
        <f t="shared" si="6"/>
        <v>10</v>
      </c>
      <c r="T49" s="9">
        <f t="shared" si="7"/>
        <v>4</v>
      </c>
      <c r="U49" s="33">
        <f t="shared" si="8"/>
        <v>1</v>
      </c>
    </row>
    <row r="50" spans="8:21" x14ac:dyDescent="0.25">
      <c r="H50" s="18">
        <f t="shared" si="0"/>
        <v>2064</v>
      </c>
      <c r="I50" s="13">
        <f t="shared" si="1"/>
        <v>49644.699999999961</v>
      </c>
      <c r="J50" s="14">
        <f t="shared" si="2"/>
        <v>3.6954599383216993E-3</v>
      </c>
      <c r="K50" s="6">
        <f t="shared" si="3"/>
        <v>13.7</v>
      </c>
      <c r="L50" s="66">
        <f t="shared" si="9"/>
        <v>6.6</v>
      </c>
      <c r="M50" s="66">
        <f t="shared" si="10"/>
        <v>0.2</v>
      </c>
      <c r="N50" s="45">
        <f t="shared" si="11"/>
        <v>4.6032000000000002</v>
      </c>
      <c r="O50" s="45">
        <f t="shared" si="12"/>
        <v>2.5739999999999998</v>
      </c>
      <c r="P50" s="19">
        <f t="shared" si="4"/>
        <v>4.6000000000000006E-2</v>
      </c>
      <c r="Q50" s="44">
        <f t="shared" si="5"/>
        <v>1557359.4526010745</v>
      </c>
      <c r="R50" s="40"/>
      <c r="S50" s="32">
        <f t="shared" si="6"/>
        <v>10</v>
      </c>
      <c r="T50" s="9">
        <f t="shared" si="7"/>
        <v>5</v>
      </c>
      <c r="U50" s="33">
        <f t="shared" si="8"/>
        <v>1</v>
      </c>
    </row>
    <row r="51" spans="8:21" x14ac:dyDescent="0.25">
      <c r="H51" s="18">
        <f t="shared" si="0"/>
        <v>2065</v>
      </c>
      <c r="I51" s="13">
        <f t="shared" si="1"/>
        <v>49828.15999999996</v>
      </c>
      <c r="J51" s="14">
        <f t="shared" si="2"/>
        <v>3.6818537951230643E-3</v>
      </c>
      <c r="K51" s="6">
        <f t="shared" si="3"/>
        <v>13.799999999999999</v>
      </c>
      <c r="L51" s="66">
        <f t="shared" si="9"/>
        <v>6.6999999999999993</v>
      </c>
      <c r="M51" s="66">
        <f t="shared" si="10"/>
        <v>0.2</v>
      </c>
      <c r="N51" s="45">
        <f t="shared" si="11"/>
        <v>4.6368</v>
      </c>
      <c r="O51" s="45">
        <f t="shared" si="12"/>
        <v>2.613</v>
      </c>
      <c r="P51" s="19">
        <f t="shared" si="4"/>
        <v>4.6000000000000006E-2</v>
      </c>
      <c r="Q51" s="44">
        <f t="shared" si="5"/>
        <v>1574383.3635462779</v>
      </c>
      <c r="R51" s="40"/>
      <c r="S51" s="32">
        <f t="shared" si="6"/>
        <v>10</v>
      </c>
      <c r="T51" s="9">
        <f t="shared" si="7"/>
        <v>5</v>
      </c>
      <c r="U51" s="33">
        <f t="shared" si="8"/>
        <v>1</v>
      </c>
    </row>
    <row r="52" spans="8:21" x14ac:dyDescent="0.25">
      <c r="H52" s="18">
        <f t="shared" si="0"/>
        <v>2066</v>
      </c>
      <c r="I52" s="13">
        <f t="shared" si="1"/>
        <v>50011.619999999959</v>
      </c>
      <c r="J52" s="14">
        <f t="shared" si="2"/>
        <v>3.6683474760465522E-3</v>
      </c>
      <c r="K52" s="6">
        <f t="shared" si="3"/>
        <v>13.9</v>
      </c>
      <c r="L52" s="66">
        <f t="shared" si="9"/>
        <v>6.8</v>
      </c>
      <c r="M52" s="66">
        <f t="shared" si="10"/>
        <v>0.2</v>
      </c>
      <c r="N52" s="45">
        <f t="shared" si="11"/>
        <v>4.6704000000000008</v>
      </c>
      <c r="O52" s="45">
        <f t="shared" si="12"/>
        <v>2.6520000000000001</v>
      </c>
      <c r="P52" s="19">
        <f t="shared" si="4"/>
        <v>4.6000000000000006E-2</v>
      </c>
      <c r="Q52" s="44">
        <f t="shared" si="5"/>
        <v>1591407.2744914815</v>
      </c>
      <c r="R52" s="40"/>
      <c r="S52" s="32">
        <f t="shared" si="6"/>
        <v>10</v>
      </c>
      <c r="T52" s="9">
        <f t="shared" si="7"/>
        <v>5</v>
      </c>
      <c r="U52" s="33">
        <f t="shared" si="8"/>
        <v>1</v>
      </c>
    </row>
    <row r="53" spans="8:21" x14ac:dyDescent="0.25">
      <c r="H53" s="18">
        <f t="shared" si="0"/>
        <v>2067</v>
      </c>
      <c r="I53" s="13">
        <f t="shared" si="1"/>
        <v>50195.079999999958</v>
      </c>
      <c r="J53" s="14">
        <f t="shared" si="2"/>
        <v>3.6549398865386665E-3</v>
      </c>
      <c r="K53" s="6">
        <f t="shared" si="3"/>
        <v>14</v>
      </c>
      <c r="L53" s="66">
        <f t="shared" si="9"/>
        <v>6.8999999999999995</v>
      </c>
      <c r="M53" s="66">
        <f t="shared" si="10"/>
        <v>0.2</v>
      </c>
      <c r="N53" s="45">
        <f t="shared" si="11"/>
        <v>4.7040000000000006</v>
      </c>
      <c r="O53" s="45">
        <f t="shared" si="12"/>
        <v>2.6909999999999998</v>
      </c>
      <c r="P53" s="19">
        <f t="shared" si="4"/>
        <v>4.6000000000000006E-2</v>
      </c>
      <c r="Q53" s="44">
        <f t="shared" si="5"/>
        <v>1608431.1854366846</v>
      </c>
      <c r="R53" s="40"/>
      <c r="S53" s="32">
        <f t="shared" si="6"/>
        <v>10</v>
      </c>
      <c r="T53" s="9">
        <f t="shared" si="7"/>
        <v>5</v>
      </c>
      <c r="U53" s="33">
        <f t="shared" si="8"/>
        <v>1</v>
      </c>
    </row>
    <row r="54" spans="8:21" x14ac:dyDescent="0.25">
      <c r="H54" s="18">
        <f t="shared" si="0"/>
        <v>2068</v>
      </c>
      <c r="I54" s="13">
        <f t="shared" si="1"/>
        <v>50378.539999999957</v>
      </c>
      <c r="J54" s="14">
        <f t="shared" si="2"/>
        <v>3.6416299479897448E-3</v>
      </c>
      <c r="K54" s="6">
        <f t="shared" si="3"/>
        <v>14.1</v>
      </c>
      <c r="L54" s="66">
        <f t="shared" si="9"/>
        <v>7</v>
      </c>
      <c r="M54" s="66">
        <f t="shared" si="10"/>
        <v>0.2</v>
      </c>
      <c r="N54" s="45">
        <f t="shared" si="11"/>
        <v>4.7376000000000005</v>
      </c>
      <c r="O54" s="45">
        <f t="shared" si="12"/>
        <v>2.73</v>
      </c>
      <c r="P54" s="19">
        <f t="shared" si="4"/>
        <v>4.6000000000000006E-2</v>
      </c>
      <c r="Q54" s="44">
        <f t="shared" si="5"/>
        <v>1625455.096381888</v>
      </c>
      <c r="R54" s="40"/>
      <c r="S54" s="32">
        <f t="shared" si="6"/>
        <v>10</v>
      </c>
      <c r="T54" s="9">
        <f t="shared" si="7"/>
        <v>5</v>
      </c>
      <c r="U54" s="33">
        <f t="shared" si="8"/>
        <v>1</v>
      </c>
    </row>
    <row r="55" spans="8:21" x14ac:dyDescent="0.25">
      <c r="H55" s="18">
        <f t="shared" si="0"/>
        <v>2069</v>
      </c>
      <c r="I55" s="13">
        <f t="shared" si="1"/>
        <v>50561.999999999956</v>
      </c>
      <c r="J55" s="14">
        <f t="shared" si="2"/>
        <v>3.6284165974447072E-3</v>
      </c>
      <c r="K55" s="6">
        <f t="shared" si="3"/>
        <v>14.2</v>
      </c>
      <c r="L55" s="66">
        <f t="shared" si="9"/>
        <v>7.1</v>
      </c>
      <c r="M55" s="66">
        <f t="shared" si="10"/>
        <v>0.2</v>
      </c>
      <c r="N55" s="45">
        <f t="shared" si="11"/>
        <v>4.7712000000000003</v>
      </c>
      <c r="O55" s="45">
        <f t="shared" si="12"/>
        <v>2.7690000000000001</v>
      </c>
      <c r="P55" s="19">
        <f t="shared" si="4"/>
        <v>4.6000000000000006E-2</v>
      </c>
      <c r="Q55" s="44">
        <f t="shared" si="5"/>
        <v>1642479.0073270914</v>
      </c>
      <c r="R55" s="40"/>
      <c r="S55" s="32">
        <f t="shared" si="6"/>
        <v>10</v>
      </c>
      <c r="T55" s="9">
        <f t="shared" si="7"/>
        <v>5</v>
      </c>
      <c r="U55" s="33">
        <f t="shared" si="8"/>
        <v>1</v>
      </c>
    </row>
    <row r="56" spans="8:21" x14ac:dyDescent="0.25">
      <c r="H56" s="18">
        <f t="shared" si="0"/>
        <v>2070</v>
      </c>
      <c r="I56" s="13">
        <f t="shared" si="1"/>
        <v>50745.459999999955</v>
      </c>
      <c r="J56" s="14">
        <f>(I56-I55)/I56</f>
        <v>3.6152987873200731E-3</v>
      </c>
      <c r="K56" s="6">
        <f t="shared" ref="K56" si="14">ROUNDUP(K55*(1+J56),1)</f>
        <v>14.299999999999999</v>
      </c>
      <c r="L56" s="66">
        <f t="shared" ref="L56" si="15">ROUNDUP(L55*(1+J56),1)</f>
        <v>7.1999999999999993</v>
      </c>
      <c r="M56" s="66">
        <f t="shared" si="10"/>
        <v>0.2</v>
      </c>
      <c r="N56" s="45">
        <f t="shared" ref="N56" si="16">K56*0.336</f>
        <v>4.8048000000000002</v>
      </c>
      <c r="O56" s="45">
        <f t="shared" ref="O56" si="17">L56*0.39</f>
        <v>2.8079999999999998</v>
      </c>
      <c r="P56" s="19">
        <f t="shared" si="4"/>
        <v>4.6000000000000006E-2</v>
      </c>
      <c r="Q56" s="44">
        <f t="shared" si="5"/>
        <v>1659502.9182722946</v>
      </c>
      <c r="R56" s="40"/>
      <c r="S56" s="32">
        <f t="shared" ref="S56" si="18">ROUNDUP(K56-N56,0)</f>
        <v>10</v>
      </c>
      <c r="T56" s="9">
        <f t="shared" ref="T56" si="19">ROUNDUP(L56-O56,0)</f>
        <v>5</v>
      </c>
      <c r="U56" s="33">
        <f t="shared" si="8"/>
        <v>1</v>
      </c>
    </row>
    <row r="57" spans="8:21" x14ac:dyDescent="0.25">
      <c r="H57" s="24">
        <f t="shared" si="0"/>
        <v>2071</v>
      </c>
      <c r="I57" s="13">
        <f t="shared" si="1"/>
        <v>50928.919999999955</v>
      </c>
      <c r="J57" s="14">
        <f t="shared" si="2"/>
        <v>3.6022754851271007E-3</v>
      </c>
      <c r="K57" s="26">
        <f t="shared" ref="K57" si="20">ROUNDUP(K56*(1+J57),1)</f>
        <v>14.4</v>
      </c>
      <c r="L57" s="65">
        <f t="shared" ref="L57" si="21">ROUNDUP(L56*(1+J57),1)</f>
        <v>7.3</v>
      </c>
      <c r="M57" s="66">
        <f t="shared" si="10"/>
        <v>0.2</v>
      </c>
      <c r="N57" s="82">
        <f t="shared" ref="N57" si="22">K57*0.336</f>
        <v>4.8384</v>
      </c>
      <c r="O57" s="82">
        <f t="shared" ref="O57" si="23">L57*0.39</f>
        <v>2.847</v>
      </c>
      <c r="P57" s="19">
        <f t="shared" si="4"/>
        <v>4.6000000000000006E-2</v>
      </c>
      <c r="Q57" s="44">
        <f t="shared" si="5"/>
        <v>1676526.8292174982</v>
      </c>
      <c r="R57" s="40"/>
      <c r="S57" s="32">
        <f t="shared" ref="S57" si="24">ROUNDUP(K57-N57,0)</f>
        <v>10</v>
      </c>
      <c r="T57" s="9">
        <f t="shared" ref="T57" si="25">ROUNDUP(L57-O57,0)</f>
        <v>5</v>
      </c>
      <c r="U57" s="33">
        <f t="shared" si="8"/>
        <v>1</v>
      </c>
    </row>
    <row r="58" spans="8:21" x14ac:dyDescent="0.25">
      <c r="H58" s="24">
        <f t="shared" si="0"/>
        <v>2072</v>
      </c>
      <c r="I58" s="13">
        <f t="shared" si="1"/>
        <v>51112.379999999954</v>
      </c>
      <c r="J58" s="14">
        <f t="shared" si="2"/>
        <v>3.5893456732008821E-3</v>
      </c>
      <c r="K58" s="26">
        <f t="shared" ref="K58" si="26">ROUNDUP(K57*(1+J58),1)</f>
        <v>14.5</v>
      </c>
      <c r="L58" s="65">
        <f t="shared" ref="L58" si="27">ROUNDUP(L57*(1+J58),1)</f>
        <v>7.3999999999999995</v>
      </c>
      <c r="M58" s="66">
        <f t="shared" si="10"/>
        <v>0.2</v>
      </c>
      <c r="N58" s="82">
        <f t="shared" ref="N58" si="28">K58*0.336</f>
        <v>4.8719999999999999</v>
      </c>
      <c r="O58" s="82">
        <f t="shared" ref="O58" si="29">L58*0.39</f>
        <v>2.8859999999999997</v>
      </c>
      <c r="P58" s="19">
        <f t="shared" si="4"/>
        <v>4.6000000000000006E-2</v>
      </c>
      <c r="Q58" s="44">
        <f t="shared" si="5"/>
        <v>1693550.7401627013</v>
      </c>
      <c r="R58" s="40"/>
      <c r="S58" s="32">
        <f t="shared" ref="S58" si="30">ROUNDUP(K58-N58,0)</f>
        <v>10</v>
      </c>
      <c r="T58" s="9">
        <f t="shared" ref="T58" si="31">ROUNDUP(L58-O58,0)</f>
        <v>5</v>
      </c>
      <c r="U58" s="33">
        <f t="shared" si="8"/>
        <v>1</v>
      </c>
    </row>
    <row r="59" spans="8:21" ht="15.75" thickBot="1" x14ac:dyDescent="0.3">
      <c r="H59" s="78">
        <f t="shared" si="0"/>
        <v>2073</v>
      </c>
      <c r="I59" s="83">
        <f t="shared" si="1"/>
        <v>51295.839999999953</v>
      </c>
      <c r="J59" s="22">
        <f t="shared" si="2"/>
        <v>3.5765083484352589E-3</v>
      </c>
      <c r="K59" s="79">
        <f t="shared" ref="K59" si="32">ROUNDUP(K58*(1+J59),1)</f>
        <v>14.6</v>
      </c>
      <c r="L59" s="80">
        <f t="shared" ref="L59" si="33">ROUNDUP(L58*(1+J59),1)</f>
        <v>7.5</v>
      </c>
      <c r="M59" s="227">
        <f t="shared" si="10"/>
        <v>0.2</v>
      </c>
      <c r="N59" s="81">
        <f t="shared" ref="N59" si="34">K59*0.336</f>
        <v>4.9056000000000006</v>
      </c>
      <c r="O59" s="81">
        <f t="shared" ref="O59" si="35">L59*0.39</f>
        <v>2.9250000000000003</v>
      </c>
      <c r="P59" s="19">
        <f t="shared" si="4"/>
        <v>4.6000000000000006E-2</v>
      </c>
      <c r="Q59" s="44">
        <f t="shared" si="5"/>
        <v>1710574.651107905</v>
      </c>
      <c r="R59" s="40"/>
      <c r="S59" s="34">
        <f t="shared" ref="S59" si="36">ROUNDUP(K59-N59,0)</f>
        <v>10</v>
      </c>
      <c r="T59" s="21">
        <f t="shared" ref="T59" si="37">ROUNDUP(L59-O59,0)</f>
        <v>5</v>
      </c>
      <c r="U59" s="35">
        <f t="shared" si="8"/>
        <v>1</v>
      </c>
    </row>
    <row r="60" spans="8:21" ht="15.75" thickBot="1" x14ac:dyDescent="0.3">
      <c r="J60" s="12"/>
      <c r="P60" s="46" t="s">
        <v>30</v>
      </c>
      <c r="Q60" s="47">
        <f>SUM(Q5:Q59)</f>
        <v>67424298.223776534</v>
      </c>
    </row>
    <row r="61" spans="8:21" x14ac:dyDescent="0.25">
      <c r="J61" s="11"/>
      <c r="K61" s="5"/>
    </row>
    <row r="62" spans="8:21" x14ac:dyDescent="0.25">
      <c r="H62" s="259" t="s">
        <v>109</v>
      </c>
      <c r="I62" s="258"/>
      <c r="J62" s="258"/>
      <c r="K62" s="258"/>
      <c r="L62" s="258"/>
      <c r="M62" s="258"/>
      <c r="N62" s="258"/>
      <c r="O62" s="258"/>
    </row>
    <row r="63" spans="8:21" x14ac:dyDescent="0.25">
      <c r="H63" s="258"/>
      <c r="I63" s="258"/>
      <c r="J63" s="258"/>
      <c r="K63" s="258"/>
      <c r="L63" s="258"/>
      <c r="M63" s="258"/>
      <c r="N63" s="258"/>
      <c r="O63" s="258"/>
    </row>
    <row r="64" spans="8:21" x14ac:dyDescent="0.25">
      <c r="H64" s="90"/>
      <c r="I64" s="90"/>
      <c r="J64" s="90"/>
      <c r="K64" s="90"/>
      <c r="L64" s="90"/>
      <c r="M64" s="90"/>
      <c r="N64" s="91"/>
      <c r="O64" s="91"/>
    </row>
    <row r="65" spans="8:15" x14ac:dyDescent="0.25">
      <c r="H65" s="90"/>
      <c r="I65" s="90"/>
      <c r="J65" s="90"/>
      <c r="K65" s="90"/>
      <c r="L65" s="90"/>
      <c r="M65" s="90"/>
      <c r="N65" s="91"/>
      <c r="O65" s="91"/>
    </row>
    <row r="66" spans="8:15" x14ac:dyDescent="0.25">
      <c r="H66" s="90"/>
      <c r="I66" s="90"/>
      <c r="J66" s="90"/>
      <c r="K66" s="90"/>
      <c r="L66" s="90"/>
      <c r="M66" s="90"/>
      <c r="N66" s="91"/>
      <c r="O66" s="91"/>
    </row>
  </sheetData>
  <mergeCells count="3">
    <mergeCell ref="A35:D38"/>
    <mergeCell ref="H62:O63"/>
    <mergeCell ref="A30:B30"/>
  </mergeCells>
  <pageMargins left="0.35" right="0.2" top="0.75" bottom="0.75" header="0.3" footer="0.3"/>
  <pageSetup paperSize="3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6"/>
  <sheetViews>
    <sheetView workbookViewId="0">
      <selection activeCell="K17" sqref="K17"/>
    </sheetView>
  </sheetViews>
  <sheetFormatPr defaultRowHeight="15" x14ac:dyDescent="0.25"/>
  <cols>
    <col min="1" max="1" width="9.42578125" customWidth="1"/>
    <col min="2" max="2" width="10.140625" customWidth="1"/>
    <col min="3" max="3" width="11.5703125" customWidth="1"/>
    <col min="4" max="7" width="14.42578125" customWidth="1"/>
    <col min="8" max="8" width="14" customWidth="1"/>
    <col min="9" max="9" width="9.7109375" customWidth="1"/>
    <col min="10" max="11" width="19.85546875" customWidth="1"/>
    <col min="12" max="12" width="14.42578125" customWidth="1"/>
    <col min="13" max="13" width="11" customWidth="1"/>
    <col min="14" max="14" width="17" customWidth="1"/>
  </cols>
  <sheetData>
    <row r="1" spans="1:15" ht="15.75" x14ac:dyDescent="0.25">
      <c r="A1" s="48" t="s">
        <v>115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.75" thickBo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</row>
    <row r="3" spans="1:15" ht="48" customHeight="1" thickBot="1" x14ac:dyDescent="0.3">
      <c r="A3" s="208" t="s">
        <v>0</v>
      </c>
      <c r="B3" s="56" t="s">
        <v>1</v>
      </c>
      <c r="C3" s="56" t="s">
        <v>4</v>
      </c>
      <c r="D3" s="56" t="s">
        <v>59</v>
      </c>
      <c r="E3" s="56" t="s">
        <v>62</v>
      </c>
      <c r="F3" s="56" t="s">
        <v>61</v>
      </c>
      <c r="G3" s="56" t="s">
        <v>60</v>
      </c>
      <c r="H3" s="57" t="s">
        <v>52</v>
      </c>
      <c r="I3" s="1"/>
      <c r="J3" s="1"/>
      <c r="K3" s="1"/>
      <c r="L3" s="1"/>
      <c r="M3" s="1"/>
    </row>
    <row r="4" spans="1:15" x14ac:dyDescent="0.25">
      <c r="A4" s="24">
        <v>2016</v>
      </c>
      <c r="B4" s="26"/>
      <c r="C4" s="26"/>
      <c r="D4" s="26"/>
      <c r="E4" s="25"/>
      <c r="F4" s="25"/>
      <c r="G4" s="25"/>
      <c r="H4" s="37"/>
    </row>
    <row r="5" spans="1:15" x14ac:dyDescent="0.25">
      <c r="A5" s="18">
        <f t="shared" ref="A5:A56" si="0">1+A4:A4</f>
        <v>2017</v>
      </c>
      <c r="B5" s="6"/>
      <c r="C5" s="6"/>
      <c r="D5" s="6"/>
      <c r="E5" s="9"/>
      <c r="F5" s="9"/>
      <c r="G5" s="9"/>
      <c r="H5" s="33"/>
    </row>
    <row r="6" spans="1:15" x14ac:dyDescent="0.25">
      <c r="A6" s="18">
        <f t="shared" si="0"/>
        <v>2018</v>
      </c>
      <c r="B6" s="6"/>
      <c r="C6" s="6"/>
      <c r="D6" s="6"/>
      <c r="E6" s="9"/>
      <c r="F6" s="9"/>
      <c r="G6" s="9"/>
      <c r="H6" s="33"/>
    </row>
    <row r="7" spans="1:15" ht="15.75" thickBot="1" x14ac:dyDescent="0.3">
      <c r="A7" s="18">
        <f t="shared" si="0"/>
        <v>2019</v>
      </c>
      <c r="B7" s="6">
        <v>1</v>
      </c>
      <c r="C7" s="84">
        <f>'Traffic Volumes'!E8*1.16+'Traffic Volumes'!F8*1.51+'Traffic Volumes'!G8</f>
        <v>58315.051830609998</v>
      </c>
      <c r="D7" s="66">
        <v>0</v>
      </c>
      <c r="E7" s="8">
        <f>('Traffic Volumes'!E8/'Traffic Volumes'!C8)*('Value of Travel Time'!D7*'Value of Travel Time'!$L$12)*1.16</f>
        <v>0</v>
      </c>
      <c r="F7" s="8">
        <f>('Traffic Volumes'!F8/'Traffic Volumes'!C8)*('Value of Travel Time'!D7*1.51)*'Value of Travel Time'!$L$11</f>
        <v>0</v>
      </c>
      <c r="G7" s="8">
        <v>0</v>
      </c>
      <c r="H7" s="85">
        <f>SUM(E7:G7)</f>
        <v>0</v>
      </c>
      <c r="I7" s="3"/>
      <c r="J7" s="3"/>
      <c r="K7" s="3"/>
      <c r="L7" s="3"/>
    </row>
    <row r="8" spans="1:15" x14ac:dyDescent="0.25">
      <c r="A8" s="18">
        <f t="shared" si="0"/>
        <v>2020</v>
      </c>
      <c r="B8" s="6">
        <f>B7+1</f>
        <v>2</v>
      </c>
      <c r="C8" s="84">
        <f>'Traffic Volumes'!E9*1.16+'Traffic Volumes'!F9*1.51+'Traffic Volumes'!G9</f>
        <v>58573.537887505394</v>
      </c>
      <c r="D8" s="66">
        <v>0</v>
      </c>
      <c r="E8" s="8">
        <f>('Traffic Volumes'!E9/'Traffic Volumes'!C9)*('Value of Travel Time'!D8*'Value of Travel Time'!$L$12)*1.16</f>
        <v>0</v>
      </c>
      <c r="F8" s="8">
        <f>('Traffic Volumes'!F9/'Traffic Volumes'!C9)*('Value of Travel Time'!D8*1.51)*'Value of Travel Time'!$L$11</f>
        <v>0</v>
      </c>
      <c r="G8" s="8">
        <f>'Traffic Volumes'!D9/'Traffic Volumes'!B9*'Value of Travel Time'!D8*'Value of Travel Time'!$L$13</f>
        <v>0</v>
      </c>
      <c r="H8" s="85">
        <f>SUM(E8:G8)</f>
        <v>0</v>
      </c>
      <c r="I8" s="3"/>
      <c r="J8" s="261" t="s">
        <v>48</v>
      </c>
      <c r="K8" s="262"/>
      <c r="L8" s="263"/>
    </row>
    <row r="9" spans="1:15" ht="15.75" thickBot="1" x14ac:dyDescent="0.3">
      <c r="A9" s="18">
        <f t="shared" si="0"/>
        <v>2021</v>
      </c>
      <c r="B9" s="6">
        <f t="shared" ref="B9:B61" si="1">B8+1</f>
        <v>3</v>
      </c>
      <c r="C9" s="84">
        <f>'Traffic Volumes'!E10*1.16+'Traffic Volumes'!F10*1.51+'Traffic Volumes'!G10</f>
        <v>58832.023944400804</v>
      </c>
      <c r="D9" s="66">
        <f t="shared" ref="D9:D57" si="2">(C9/56)-(C9/63)</f>
        <v>116.73020623889045</v>
      </c>
      <c r="E9" s="8">
        <f>('Traffic Volumes'!E10/'Traffic Volumes'!C10)*('Value of Travel Time'!D9*'Value of Travel Time'!$L$12)*1.16</f>
        <v>736.01850247725088</v>
      </c>
      <c r="F9" s="8">
        <f>('Traffic Volumes'!F10/'Traffic Volumes'!C10)*('Value of Travel Time'!D9*1.51)*'Value of Travel Time'!$L$11</f>
        <v>2632.3058389571006</v>
      </c>
      <c r="G9" s="8">
        <f>'Traffic Volumes'!D10/'Traffic Volumes'!B10*'Value of Travel Time'!D9*'Value of Travel Time'!$L$13</f>
        <v>190.8212027428394</v>
      </c>
      <c r="H9" s="85">
        <f t="shared" ref="H9:H57" si="3">SUM(E9:G9)</f>
        <v>3559.1455441771909</v>
      </c>
      <c r="I9" s="3"/>
      <c r="J9" s="264"/>
      <c r="K9" s="265"/>
      <c r="L9" s="266"/>
      <c r="M9" s="38"/>
      <c r="N9" s="38"/>
      <c r="O9" s="38"/>
    </row>
    <row r="10" spans="1:15" ht="30.75" thickBot="1" x14ac:dyDescent="0.3">
      <c r="A10" s="18">
        <f t="shared" si="0"/>
        <v>2022</v>
      </c>
      <c r="B10" s="6">
        <f t="shared" si="1"/>
        <v>4</v>
      </c>
      <c r="C10" s="84">
        <f>'Traffic Volumes'!E11*1.16+'Traffic Volumes'!F11*1.51+'Traffic Volumes'!G11</f>
        <v>59090.510001296199</v>
      </c>
      <c r="D10" s="66">
        <f t="shared" si="2"/>
        <v>117.24307539939707</v>
      </c>
      <c r="E10" s="8">
        <f>('Traffic Volumes'!E11/'Traffic Volumes'!C11)*('Value of Travel Time'!D10*'Value of Travel Time'!$L$12)*1.16</f>
        <v>739.25229434351684</v>
      </c>
      <c r="F10" s="8">
        <f>('Traffic Volumes'!F11/'Traffic Volumes'!C11)*('Value of Travel Time'!D10*1.51)*'Value of Travel Time'!$L$11</f>
        <v>2643.87121290204</v>
      </c>
      <c r="G10" s="8">
        <f>'Traffic Volumes'!D11/'Traffic Volumes'!B11*'Value of Travel Time'!D10*'Value of Travel Time'!$L$13</f>
        <v>191.65960021690233</v>
      </c>
      <c r="H10" s="85">
        <f t="shared" si="3"/>
        <v>3574.7831074624592</v>
      </c>
      <c r="I10" s="3"/>
      <c r="J10" s="55" t="s">
        <v>44</v>
      </c>
      <c r="K10" s="56" t="s">
        <v>49</v>
      </c>
      <c r="L10" s="57" t="s">
        <v>49</v>
      </c>
      <c r="M10" s="58"/>
      <c r="N10" s="58"/>
      <c r="O10" s="58"/>
    </row>
    <row r="11" spans="1:15" x14ac:dyDescent="0.25">
      <c r="A11" s="18">
        <f t="shared" si="0"/>
        <v>2023</v>
      </c>
      <c r="B11" s="6">
        <f t="shared" si="1"/>
        <v>5</v>
      </c>
      <c r="C11" s="84">
        <f>'Traffic Volumes'!E12*1.16+'Traffic Volumes'!F12*1.51+'Traffic Volumes'!G12</f>
        <v>59348.996058191595</v>
      </c>
      <c r="D11" s="66">
        <f t="shared" si="2"/>
        <v>117.75594455990404</v>
      </c>
      <c r="E11" s="8">
        <f>('Traffic Volumes'!E12/'Traffic Volumes'!C12)*('Value of Travel Time'!D11*'Value of Travel Time'!$L$12)*1.16</f>
        <v>742.48608620978473</v>
      </c>
      <c r="F11" s="8">
        <f>('Traffic Volumes'!F12/'Traffic Volumes'!C12)*('Value of Travel Time'!D11*1.51)*'Value of Travel Time'!$L$11</f>
        <v>2655.4365868469868</v>
      </c>
      <c r="G11" s="8">
        <f>'Traffic Volumes'!D12/'Traffic Volumes'!B12*'Value of Travel Time'!D11*'Value of Travel Time'!$L$13</f>
        <v>192.4979976909664</v>
      </c>
      <c r="H11" s="85">
        <f t="shared" si="3"/>
        <v>3590.4206707477379</v>
      </c>
      <c r="I11" s="3"/>
      <c r="J11" s="36" t="s">
        <v>45</v>
      </c>
      <c r="K11" s="53">
        <v>19</v>
      </c>
      <c r="L11" s="54">
        <f>K11*GDP!B7</f>
        <v>19</v>
      </c>
      <c r="M11" s="59"/>
      <c r="N11" s="59"/>
      <c r="O11" s="59"/>
    </row>
    <row r="12" spans="1:15" x14ac:dyDescent="0.25">
      <c r="A12" s="18">
        <f t="shared" si="0"/>
        <v>2024</v>
      </c>
      <c r="B12" s="6">
        <f t="shared" si="1"/>
        <v>6</v>
      </c>
      <c r="C12" s="84">
        <f>'Traffic Volumes'!E13*1.16+'Traffic Volumes'!F13*1.51+'Traffic Volumes'!G13</f>
        <v>59607.482115086998</v>
      </c>
      <c r="D12" s="66">
        <f t="shared" si="2"/>
        <v>118.26881372041078</v>
      </c>
      <c r="E12" s="8">
        <f>('Traffic Volumes'!E13/'Traffic Volumes'!C13)*('Value of Travel Time'!D12*'Value of Travel Time'!$L$12)*1.16</f>
        <v>745.71987807605115</v>
      </c>
      <c r="F12" s="8">
        <f>('Traffic Volumes'!F13/'Traffic Volumes'!C13)*('Value of Travel Time'!D12*1.51)*'Value of Travel Time'!$L$11</f>
        <v>2667.0019607919285</v>
      </c>
      <c r="G12" s="8">
        <f>'Traffic Volumes'!D13/'Traffic Volumes'!B13*'Value of Travel Time'!D12*'Value of Travel Time'!$L$13</f>
        <v>193.3363951650301</v>
      </c>
      <c r="H12" s="85">
        <f t="shared" si="3"/>
        <v>3606.0582340330093</v>
      </c>
      <c r="I12" s="3"/>
      <c r="J12" s="32" t="s">
        <v>46</v>
      </c>
      <c r="K12" s="51">
        <v>25.4</v>
      </c>
      <c r="L12" s="54">
        <f>K12*GDP!B7</f>
        <v>25.4</v>
      </c>
      <c r="M12" s="59"/>
      <c r="N12" s="59"/>
      <c r="O12" s="59"/>
    </row>
    <row r="13" spans="1:15" ht="15.75" thickBot="1" x14ac:dyDescent="0.3">
      <c r="A13" s="18">
        <f t="shared" si="0"/>
        <v>2025</v>
      </c>
      <c r="B13" s="6">
        <f t="shared" si="1"/>
        <v>7</v>
      </c>
      <c r="C13" s="84">
        <f>'Traffic Volumes'!E14*1.16+'Traffic Volumes'!F14*1.51+'Traffic Volumes'!G14</f>
        <v>59865.968171982393</v>
      </c>
      <c r="D13" s="66">
        <f t="shared" si="2"/>
        <v>118.7816828809174</v>
      </c>
      <c r="E13" s="8">
        <f>('Traffic Volumes'!E14/'Traffic Volumes'!C14)*('Value of Travel Time'!D13*'Value of Travel Time'!$L$12)*1.16</f>
        <v>748.95366994231688</v>
      </c>
      <c r="F13" s="8">
        <f>('Traffic Volumes'!F14/'Traffic Volumes'!C14)*('Value of Travel Time'!D13*1.51)*'Value of Travel Time'!$L$11</f>
        <v>2678.567334736867</v>
      </c>
      <c r="G13" s="8">
        <f>'Traffic Volumes'!D14/'Traffic Volumes'!B14*'Value of Travel Time'!D13*'Value of Travel Time'!$L$13</f>
        <v>194.17479263909362</v>
      </c>
      <c r="H13" s="85">
        <f t="shared" si="3"/>
        <v>3621.6957973182775</v>
      </c>
      <c r="I13" s="3"/>
      <c r="J13" s="34" t="s">
        <v>47</v>
      </c>
      <c r="K13" s="52">
        <v>27.2</v>
      </c>
      <c r="L13" s="228">
        <f>K13*GDP!B7</f>
        <v>27.2</v>
      </c>
      <c r="M13" s="59"/>
      <c r="N13" s="59"/>
      <c r="O13" s="59"/>
    </row>
    <row r="14" spans="1:15" ht="15.75" thickBot="1" x14ac:dyDescent="0.3">
      <c r="A14" s="18">
        <f t="shared" si="0"/>
        <v>2026</v>
      </c>
      <c r="B14" s="6">
        <f t="shared" si="1"/>
        <v>8</v>
      </c>
      <c r="C14" s="84">
        <f>'Traffic Volumes'!E15*1.16+'Traffic Volumes'!F15*1.51+'Traffic Volumes'!G15</f>
        <v>60124.454228877796</v>
      </c>
      <c r="D14" s="66">
        <f t="shared" si="2"/>
        <v>119.29455204142414</v>
      </c>
      <c r="E14" s="8">
        <f>('Traffic Volumes'!E15/'Traffic Volumes'!C15)*('Value of Travel Time'!D14*'Value of Travel Time'!$L$12)*1.16</f>
        <v>752.18746180858341</v>
      </c>
      <c r="F14" s="8">
        <f>('Traffic Volumes'!F15/'Traffic Volumes'!C15)*('Value of Travel Time'!D14*1.51)*'Value of Travel Time'!$L$11</f>
        <v>2690.1327086818087</v>
      </c>
      <c r="G14" s="8">
        <f>'Traffic Volumes'!D15/'Traffic Volumes'!B15*'Value of Travel Time'!D14*'Value of Travel Time'!$L$13</f>
        <v>195.01319011315675</v>
      </c>
      <c r="H14" s="85">
        <f t="shared" si="3"/>
        <v>3637.333360603549</v>
      </c>
      <c r="I14" s="3"/>
    </row>
    <row r="15" spans="1:15" ht="29.25" customHeight="1" thickBot="1" x14ac:dyDescent="0.3">
      <c r="A15" s="18">
        <f t="shared" si="0"/>
        <v>2027</v>
      </c>
      <c r="B15" s="6">
        <f t="shared" si="1"/>
        <v>9</v>
      </c>
      <c r="C15" s="84">
        <f>'Traffic Volumes'!E16*1.16+'Traffic Volumes'!F16*1.51+'Traffic Volumes'!G16</f>
        <v>60382.940285773191</v>
      </c>
      <c r="D15" s="66">
        <f t="shared" si="2"/>
        <v>119.80742120193099</v>
      </c>
      <c r="E15" s="8">
        <f>('Traffic Volumes'!E16/'Traffic Volumes'!C16)*('Value of Travel Time'!D15*'Value of Travel Time'!$L$12)*1.16</f>
        <v>755.42125367485062</v>
      </c>
      <c r="F15" s="8">
        <f>('Traffic Volumes'!F16/'Traffic Volumes'!C16)*('Value of Travel Time'!D15*1.51)*'Value of Travel Time'!$L$11</f>
        <v>2701.6980826267527</v>
      </c>
      <c r="G15" s="8">
        <f>'Traffic Volumes'!D16/'Traffic Volumes'!B16*'Value of Travel Time'!D15*'Value of Travel Time'!$L$13</f>
        <v>195.85158758722065</v>
      </c>
      <c r="H15" s="85">
        <f t="shared" si="3"/>
        <v>3652.970923888824</v>
      </c>
      <c r="I15" s="3"/>
      <c r="J15" s="260" t="s">
        <v>50</v>
      </c>
      <c r="K15" s="255"/>
      <c r="L15" s="114"/>
      <c r="M15" s="38"/>
    </row>
    <row r="16" spans="1:15" ht="15.75" thickBot="1" x14ac:dyDescent="0.3">
      <c r="A16" s="18">
        <f t="shared" si="0"/>
        <v>2028</v>
      </c>
      <c r="B16" s="6">
        <f t="shared" si="1"/>
        <v>10</v>
      </c>
      <c r="C16" s="84">
        <f>'Traffic Volumes'!E17*1.16+'Traffic Volumes'!F17*1.51+'Traffic Volumes'!G17</f>
        <v>60641.426342668587</v>
      </c>
      <c r="D16" s="66">
        <f t="shared" si="2"/>
        <v>120.32029036243762</v>
      </c>
      <c r="E16" s="8">
        <f>('Traffic Volumes'!E17/'Traffic Volumes'!C17)*('Value of Travel Time'!D16*'Value of Travel Time'!$L$12)*1.16</f>
        <v>758.65504554111635</v>
      </c>
      <c r="F16" s="8">
        <f>('Traffic Volumes'!F17/'Traffic Volumes'!C17)*('Value of Travel Time'!D16*1.51)*'Value of Travel Time'!$L$11</f>
        <v>2713.2634565716917</v>
      </c>
      <c r="G16" s="8">
        <f>'Traffic Volumes'!D17/'Traffic Volumes'!B17*'Value of Travel Time'!D16*'Value of Travel Time'!$L$13</f>
        <v>196.68998506128415</v>
      </c>
      <c r="H16" s="85">
        <f t="shared" si="3"/>
        <v>3668.6084871740918</v>
      </c>
      <c r="I16" s="3"/>
      <c r="J16" s="74" t="s">
        <v>46</v>
      </c>
      <c r="K16" s="211">
        <v>0.214</v>
      </c>
      <c r="L16" s="95"/>
      <c r="M16" s="38"/>
    </row>
    <row r="17" spans="1:15" ht="15.75" thickBot="1" x14ac:dyDescent="0.3">
      <c r="A17" s="18">
        <f t="shared" si="0"/>
        <v>2029</v>
      </c>
      <c r="B17" s="6">
        <f t="shared" si="1"/>
        <v>11</v>
      </c>
      <c r="C17" s="84">
        <f>'Traffic Volumes'!E18*1.16+'Traffic Volumes'!F18*1.51+'Traffic Volumes'!G18</f>
        <v>60899.912399563989</v>
      </c>
      <c r="D17" s="66">
        <f t="shared" si="2"/>
        <v>120.83315952294436</v>
      </c>
      <c r="E17" s="8">
        <f>('Traffic Volumes'!E18/'Traffic Volumes'!C18)*('Value of Travel Time'!D17*'Value of Travel Time'!$L$12)*1.16</f>
        <v>761.88883740738288</v>
      </c>
      <c r="F17" s="8">
        <f>('Traffic Volumes'!F18/'Traffic Volumes'!C18)*('Value of Travel Time'!D17*1.51)*'Value of Travel Time'!$L$11</f>
        <v>2724.8288305166334</v>
      </c>
      <c r="G17" s="8">
        <f>'Traffic Volumes'!D18/'Traffic Volumes'!B18*'Value of Travel Time'!D17*'Value of Travel Time'!$L$13</f>
        <v>197.52838253534787</v>
      </c>
      <c r="H17" s="85">
        <f t="shared" si="3"/>
        <v>3684.2460504593646</v>
      </c>
      <c r="I17" s="3"/>
      <c r="J17" s="74" t="s">
        <v>51</v>
      </c>
      <c r="K17" s="211">
        <v>0.78600000000000003</v>
      </c>
      <c r="L17" s="95"/>
      <c r="M17" s="38"/>
    </row>
    <row r="18" spans="1:15" x14ac:dyDescent="0.25">
      <c r="A18" s="18">
        <f t="shared" si="0"/>
        <v>2030</v>
      </c>
      <c r="B18" s="6">
        <f t="shared" si="1"/>
        <v>12</v>
      </c>
      <c r="C18" s="84">
        <f>'Traffic Volumes'!E19*1.16+'Traffic Volumes'!F19*1.51+'Traffic Volumes'!G19</f>
        <v>61158.398456459385</v>
      </c>
      <c r="D18" s="66">
        <f t="shared" si="2"/>
        <v>121.34602868345121</v>
      </c>
      <c r="E18" s="8">
        <f>('Traffic Volumes'!E19/'Traffic Volumes'!C19)*('Value of Travel Time'!D18*'Value of Travel Time'!$L$12)*1.16</f>
        <v>765.12262927365009</v>
      </c>
      <c r="F18" s="8">
        <f>('Traffic Volumes'!F19/'Traffic Volumes'!C19)*('Value of Travel Time'!D18*1.51)*'Value of Travel Time'!$L$11</f>
        <v>2736.3942044615769</v>
      </c>
      <c r="G18" s="8">
        <f>'Traffic Volumes'!D19/'Traffic Volumes'!B19*'Value of Travel Time'!D18*'Value of Travel Time'!$L$13</f>
        <v>198.36678000941174</v>
      </c>
      <c r="H18" s="85">
        <f t="shared" si="3"/>
        <v>3699.8836137446388</v>
      </c>
      <c r="I18" s="3"/>
    </row>
    <row r="19" spans="1:15" x14ac:dyDescent="0.25">
      <c r="A19" s="18">
        <f t="shared" si="0"/>
        <v>2031</v>
      </c>
      <c r="B19" s="6">
        <f t="shared" si="1"/>
        <v>13</v>
      </c>
      <c r="C19" s="84">
        <f>'Traffic Volumes'!E20*1.16+'Traffic Volumes'!F20*1.51+'Traffic Volumes'!G20</f>
        <v>61416.88451335478</v>
      </c>
      <c r="D19" s="66">
        <f t="shared" si="2"/>
        <v>121.85889784395795</v>
      </c>
      <c r="E19" s="8">
        <f>('Traffic Volumes'!E20/'Traffic Volumes'!C20)*('Value of Travel Time'!D19*'Value of Travel Time'!$L$12)*1.16</f>
        <v>768.35642113991651</v>
      </c>
      <c r="F19" s="8">
        <f>('Traffic Volumes'!F20/'Traffic Volumes'!C20)*('Value of Travel Time'!D19*1.51)*'Value of Travel Time'!$L$11</f>
        <v>2747.9595784065186</v>
      </c>
      <c r="G19" s="8">
        <f>'Traffic Volumes'!D20/'Traffic Volumes'!B20*'Value of Travel Time'!D19*'Value of Travel Time'!$L$13</f>
        <v>199.20517748347487</v>
      </c>
      <c r="H19" s="85">
        <f t="shared" si="3"/>
        <v>3715.5211770299102</v>
      </c>
      <c r="I19" s="3"/>
      <c r="J19" s="259" t="s">
        <v>116</v>
      </c>
      <c r="K19" s="258"/>
      <c r="L19" s="258"/>
      <c r="M19" s="115"/>
      <c r="N19" s="90"/>
      <c r="O19" s="90"/>
    </row>
    <row r="20" spans="1:15" x14ac:dyDescent="0.25">
      <c r="A20" s="18">
        <f t="shared" si="0"/>
        <v>2032</v>
      </c>
      <c r="B20" s="6">
        <f t="shared" si="1"/>
        <v>14</v>
      </c>
      <c r="C20" s="84">
        <f>'Traffic Volumes'!E21*1.16+'Traffic Volumes'!F21*1.51+'Traffic Volumes'!G21</f>
        <v>61675.37057025019</v>
      </c>
      <c r="D20" s="66">
        <f t="shared" si="2"/>
        <v>122.3717670044648</v>
      </c>
      <c r="E20" s="8">
        <f>('Traffic Volumes'!E21/'Traffic Volumes'!C21)*('Value of Travel Time'!D20*'Value of Travel Time'!$L$12)*1.16</f>
        <v>771.59021300618372</v>
      </c>
      <c r="F20" s="8">
        <f>('Traffic Volumes'!F21/'Traffic Volumes'!C21)*('Value of Travel Time'!D20*1.51)*'Value of Travel Time'!$L$11</f>
        <v>2759.5249523514626</v>
      </c>
      <c r="G20" s="8">
        <f>'Traffic Volumes'!D21/'Traffic Volumes'!B21*'Value of Travel Time'!D20*'Value of Travel Time'!$L$13</f>
        <v>200.04357495753879</v>
      </c>
      <c r="H20" s="85">
        <f t="shared" si="3"/>
        <v>3731.1587403151852</v>
      </c>
      <c r="I20" s="3"/>
      <c r="J20" s="258"/>
      <c r="K20" s="258"/>
      <c r="L20" s="258"/>
      <c r="M20" s="115"/>
      <c r="N20" s="90"/>
      <c r="O20" s="90"/>
    </row>
    <row r="21" spans="1:15" x14ac:dyDescent="0.25">
      <c r="A21" s="18">
        <f t="shared" si="0"/>
        <v>2033</v>
      </c>
      <c r="B21" s="6">
        <f t="shared" si="1"/>
        <v>15</v>
      </c>
      <c r="C21" s="84">
        <f>'Traffic Volumes'!E22*1.16+'Traffic Volumes'!F22*1.51+'Traffic Volumes'!G22</f>
        <v>61933.856627145586</v>
      </c>
      <c r="D21" s="66">
        <f t="shared" si="2"/>
        <v>122.88463616497143</v>
      </c>
      <c r="E21" s="8">
        <f>('Traffic Volumes'!E22/'Traffic Volumes'!C22)*('Value of Travel Time'!D21*'Value of Travel Time'!$L$12)*1.16</f>
        <v>774.82400487244968</v>
      </c>
      <c r="F21" s="8">
        <f>('Traffic Volumes'!F22/'Traffic Volumes'!C22)*('Value of Travel Time'!D21*1.51)*'Value of Travel Time'!$L$11</f>
        <v>2771.0903262964016</v>
      </c>
      <c r="G21" s="8">
        <f>'Traffic Volumes'!D22/'Traffic Volumes'!B22*'Value of Travel Time'!D21*'Value of Travel Time'!$L$13</f>
        <v>200.88197243160229</v>
      </c>
      <c r="H21" s="85">
        <f t="shared" si="3"/>
        <v>3746.7963036004535</v>
      </c>
      <c r="I21" s="3"/>
      <c r="J21" s="258"/>
      <c r="K21" s="258"/>
      <c r="L21" s="258"/>
      <c r="M21" s="218"/>
    </row>
    <row r="22" spans="1:15" x14ac:dyDescent="0.25">
      <c r="A22" s="18">
        <f t="shared" si="0"/>
        <v>2034</v>
      </c>
      <c r="B22" s="6">
        <f t="shared" si="1"/>
        <v>16</v>
      </c>
      <c r="C22" s="84">
        <f>'Traffic Volumes'!E23*1.16+'Traffic Volumes'!F23*1.51+'Traffic Volumes'!G23</f>
        <v>62192.342684040981</v>
      </c>
      <c r="D22" s="66">
        <f t="shared" si="2"/>
        <v>123.39750532547805</v>
      </c>
      <c r="E22" s="8">
        <f>('Traffic Volumes'!E23/'Traffic Volumes'!C23)*('Value of Travel Time'!D22*'Value of Travel Time'!$L$12)*1.16</f>
        <v>778.0577967387153</v>
      </c>
      <c r="F22" s="8">
        <f>('Traffic Volumes'!F23/'Traffic Volumes'!C23)*('Value of Travel Time'!D22*1.51)*'Value of Travel Time'!$L$11</f>
        <v>2782.655700241341</v>
      </c>
      <c r="G22" s="8">
        <f>'Traffic Volumes'!D23/'Traffic Volumes'!B23*'Value of Travel Time'!D22*'Value of Travel Time'!$L$13</f>
        <v>201.72036990566582</v>
      </c>
      <c r="H22" s="85">
        <f t="shared" si="3"/>
        <v>3762.4338668857222</v>
      </c>
      <c r="I22" s="3"/>
      <c r="K22" s="218"/>
      <c r="L22" s="218"/>
      <c r="M22" s="218"/>
    </row>
    <row r="23" spans="1:15" x14ac:dyDescent="0.25">
      <c r="A23" s="18">
        <f t="shared" si="0"/>
        <v>2035</v>
      </c>
      <c r="B23" s="6">
        <f t="shared" si="1"/>
        <v>17</v>
      </c>
      <c r="C23" s="84">
        <f>'Traffic Volumes'!E24*1.16+'Traffic Volumes'!F24*1.51+'Traffic Volumes'!G24</f>
        <v>62450.828740936384</v>
      </c>
      <c r="D23" s="66">
        <f t="shared" si="2"/>
        <v>123.91037448598479</v>
      </c>
      <c r="E23" s="8">
        <f>('Traffic Volumes'!E24/'Traffic Volumes'!C24)*('Value of Travel Time'!D23*'Value of Travel Time'!$L$12)*1.16</f>
        <v>781.29158860498183</v>
      </c>
      <c r="F23" s="8">
        <f>('Traffic Volumes'!F24/'Traffic Volumes'!C24)*('Value of Travel Time'!D23*1.51)*'Value of Travel Time'!$L$11</f>
        <v>2794.2210741862823</v>
      </c>
      <c r="G23" s="8">
        <f>'Traffic Volumes'!D24/'Traffic Volumes'!B24*'Value of Travel Time'!D23*'Value of Travel Time'!$L$13</f>
        <v>202.55876737972895</v>
      </c>
      <c r="H23" s="85">
        <f t="shared" si="3"/>
        <v>3778.0714301709932</v>
      </c>
      <c r="I23" s="3"/>
      <c r="K23" s="218"/>
      <c r="L23" s="218"/>
      <c r="M23" s="218"/>
    </row>
    <row r="24" spans="1:15" x14ac:dyDescent="0.25">
      <c r="A24" s="18">
        <f t="shared" si="0"/>
        <v>2036</v>
      </c>
      <c r="B24" s="6">
        <f t="shared" si="1"/>
        <v>18</v>
      </c>
      <c r="C24" s="84">
        <f>'Traffic Volumes'!E25*1.16+'Traffic Volumes'!F25*1.51+'Traffic Volumes'!G25</f>
        <v>62709.314797831779</v>
      </c>
      <c r="D24" s="66">
        <f t="shared" si="2"/>
        <v>124.42324364649164</v>
      </c>
      <c r="E24" s="8">
        <f>('Traffic Volumes'!E25/'Traffic Volumes'!C25)*('Value of Travel Time'!D24*'Value of Travel Time'!$L$12)*1.16</f>
        <v>784.52538047124904</v>
      </c>
      <c r="F24" s="8">
        <f>('Traffic Volumes'!F25/'Traffic Volumes'!C25)*('Value of Travel Time'!D24*1.51)*'Value of Travel Time'!$L$11</f>
        <v>2805.7864481312263</v>
      </c>
      <c r="G24" s="8">
        <f>'Traffic Volumes'!D25/'Traffic Volumes'!B25*'Value of Travel Time'!D24*'Value of Travel Time'!$L$13</f>
        <v>203.39716485379284</v>
      </c>
      <c r="H24" s="85">
        <f t="shared" si="3"/>
        <v>3793.7089934562682</v>
      </c>
      <c r="I24" s="3"/>
      <c r="J24" s="3"/>
      <c r="K24" s="3"/>
      <c r="L24" s="3"/>
    </row>
    <row r="25" spans="1:15" x14ac:dyDescent="0.25">
      <c r="A25" s="18">
        <f t="shared" si="0"/>
        <v>2037</v>
      </c>
      <c r="B25" s="6">
        <f t="shared" si="1"/>
        <v>19</v>
      </c>
      <c r="C25" s="84">
        <f>'Traffic Volumes'!E26*1.16+'Traffic Volumes'!F26*1.51+'Traffic Volumes'!G26</f>
        <v>62967.800854727182</v>
      </c>
      <c r="D25" s="66">
        <f t="shared" si="2"/>
        <v>124.93611280699838</v>
      </c>
      <c r="E25" s="8">
        <f>('Traffic Volumes'!E26/'Traffic Volumes'!C26)*('Value of Travel Time'!D25*'Value of Travel Time'!$L$12)*1.16</f>
        <v>787.75917233751557</v>
      </c>
      <c r="F25" s="8">
        <f>('Traffic Volumes'!F26/'Traffic Volumes'!C26)*('Value of Travel Time'!D25*1.51)*'Value of Travel Time'!$L$11</f>
        <v>2817.351822076168</v>
      </c>
      <c r="G25" s="8">
        <f>'Traffic Volumes'!D26/'Traffic Volumes'!B26*'Value of Travel Time'!D25*'Value of Travel Time'!$L$13</f>
        <v>204.23556232785651</v>
      </c>
      <c r="H25" s="85">
        <f t="shared" si="3"/>
        <v>3809.3465567415396</v>
      </c>
      <c r="I25" s="3"/>
      <c r="J25" s="3"/>
      <c r="K25" s="3"/>
      <c r="L25" s="3"/>
    </row>
    <row r="26" spans="1:15" x14ac:dyDescent="0.25">
      <c r="A26" s="18">
        <f t="shared" si="0"/>
        <v>2038</v>
      </c>
      <c r="B26" s="6">
        <f t="shared" si="1"/>
        <v>20</v>
      </c>
      <c r="C26" s="84">
        <f>'Traffic Volumes'!E27*1.16+'Traffic Volumes'!F27*1.51+'Traffic Volumes'!G27</f>
        <v>63226.28691162257</v>
      </c>
      <c r="D26" s="66">
        <f t="shared" si="2"/>
        <v>125.44898196750512</v>
      </c>
      <c r="E26" s="8">
        <f>('Traffic Volumes'!E27/'Traffic Volumes'!C27)*('Value of Travel Time'!D26*'Value of Travel Time'!$L$12)*1.16</f>
        <v>790.99296420378209</v>
      </c>
      <c r="F26" s="8">
        <f>('Traffic Volumes'!F27/'Traffic Volumes'!C27)*('Value of Travel Time'!D26*1.51)*'Value of Travel Time'!$L$11</f>
        <v>2828.9171960211092</v>
      </c>
      <c r="G26" s="8">
        <f>'Traffic Volumes'!D27/'Traffic Volumes'!B27*'Value of Travel Time'!D26*'Value of Travel Time'!$L$13</f>
        <v>205.07395980192021</v>
      </c>
      <c r="H26" s="85">
        <f t="shared" si="3"/>
        <v>3824.9841200268115</v>
      </c>
      <c r="I26" s="3"/>
      <c r="J26" s="3"/>
      <c r="K26" s="3"/>
      <c r="L26" s="3"/>
    </row>
    <row r="27" spans="1:15" x14ac:dyDescent="0.25">
      <c r="A27" s="18">
        <f t="shared" si="0"/>
        <v>2039</v>
      </c>
      <c r="B27" s="6">
        <f t="shared" si="1"/>
        <v>21</v>
      </c>
      <c r="C27" s="84">
        <f>'Traffic Volumes'!E28*1.16+'Traffic Volumes'!F28*1.51+'Traffic Volumes'!G28</f>
        <v>63484.772968517973</v>
      </c>
      <c r="D27" s="66">
        <f t="shared" si="2"/>
        <v>125.96185112801197</v>
      </c>
      <c r="E27" s="8">
        <f>('Traffic Volumes'!E28/'Traffic Volumes'!C28)*('Value of Travel Time'!D27*'Value of Travel Time'!$L$12)*1.16</f>
        <v>794.2267560700493</v>
      </c>
      <c r="F27" s="8">
        <f>('Traffic Volumes'!F28/'Traffic Volumes'!C28)*('Value of Travel Time'!D27*1.51)*'Value of Travel Time'!$L$11</f>
        <v>2840.4825699660537</v>
      </c>
      <c r="G27" s="8">
        <f>'Traffic Volumes'!D28/'Traffic Volumes'!B28*'Value of Travel Time'!D27*'Value of Travel Time'!$L$13</f>
        <v>205.91235727598414</v>
      </c>
      <c r="H27" s="85">
        <f t="shared" si="3"/>
        <v>3840.621683312087</v>
      </c>
      <c r="I27" s="3"/>
      <c r="J27" s="3"/>
      <c r="K27" s="3"/>
      <c r="L27" s="3"/>
    </row>
    <row r="28" spans="1:15" x14ac:dyDescent="0.25">
      <c r="A28" s="18">
        <f t="shared" si="0"/>
        <v>2040</v>
      </c>
      <c r="B28" s="6">
        <f t="shared" si="1"/>
        <v>22</v>
      </c>
      <c r="C28" s="84">
        <f>'Traffic Volumes'!E29*1.16+'Traffic Volumes'!F29*1.51+'Traffic Volumes'!G29</f>
        <v>63743.259025413376</v>
      </c>
      <c r="D28" s="66">
        <f t="shared" si="2"/>
        <v>126.47472028851871</v>
      </c>
      <c r="E28" s="8">
        <f>('Traffic Volumes'!E29/'Traffic Volumes'!C29)*('Value of Travel Time'!D28*'Value of Travel Time'!$L$12)*1.16</f>
        <v>797.46054793631572</v>
      </c>
      <c r="F28" s="8">
        <f>('Traffic Volumes'!F29/'Traffic Volumes'!C29)*('Value of Travel Time'!D28*1.51)*'Value of Travel Time'!$L$11</f>
        <v>2852.0479439109949</v>
      </c>
      <c r="G28" s="8">
        <f>'Traffic Volumes'!D29/'Traffic Volumes'!B29*'Value of Travel Time'!D28*'Value of Travel Time'!$L$13</f>
        <v>206.75075475004726</v>
      </c>
      <c r="H28" s="85">
        <f t="shared" si="3"/>
        <v>3856.259246597358</v>
      </c>
      <c r="I28" s="3"/>
      <c r="J28" s="3"/>
      <c r="K28" s="3"/>
      <c r="L28" s="3"/>
    </row>
    <row r="29" spans="1:15" x14ac:dyDescent="0.25">
      <c r="A29" s="18">
        <f t="shared" si="0"/>
        <v>2041</v>
      </c>
      <c r="B29" s="6">
        <f t="shared" si="1"/>
        <v>23</v>
      </c>
      <c r="C29" s="84">
        <f>'Traffic Volumes'!E30*1.16+'Traffic Volumes'!F30*1.51+'Traffic Volumes'!G30</f>
        <v>64001.745082308778</v>
      </c>
      <c r="D29" s="66">
        <f t="shared" si="2"/>
        <v>126.98758944902545</v>
      </c>
      <c r="E29" s="8">
        <f>('Traffic Volumes'!E30/'Traffic Volumes'!C30)*('Value of Travel Time'!D29*'Value of Travel Time'!$L$12)*1.16</f>
        <v>800.69433980258225</v>
      </c>
      <c r="F29" s="8">
        <f>('Traffic Volumes'!F30/'Traffic Volumes'!C30)*('Value of Travel Time'!D29*1.51)*'Value of Travel Time'!$L$11</f>
        <v>2863.6133178559371</v>
      </c>
      <c r="G29" s="8">
        <f>'Traffic Volumes'!D30/'Traffic Volumes'!B30*'Value of Travel Time'!D29*'Value of Travel Time'!$L$13</f>
        <v>207.58915222411099</v>
      </c>
      <c r="H29" s="85">
        <f t="shared" si="3"/>
        <v>3871.8968098826304</v>
      </c>
      <c r="I29" s="3"/>
      <c r="J29" s="3"/>
      <c r="K29" s="3"/>
      <c r="L29" s="3"/>
    </row>
    <row r="30" spans="1:15" x14ac:dyDescent="0.25">
      <c r="A30" s="18">
        <f t="shared" si="0"/>
        <v>2042</v>
      </c>
      <c r="B30" s="6">
        <f t="shared" si="1"/>
        <v>24</v>
      </c>
      <c r="C30" s="84">
        <f>'Traffic Volumes'!E31*1.16+'Traffic Volumes'!F31*1.51+'Traffic Volumes'!G31</f>
        <v>64260.231139204167</v>
      </c>
      <c r="D30" s="66">
        <f t="shared" si="2"/>
        <v>127.50045860953219</v>
      </c>
      <c r="E30" s="8">
        <f>('Traffic Volumes'!E31/'Traffic Volumes'!C31)*('Value of Travel Time'!D30*'Value of Travel Time'!$L$12)*1.16</f>
        <v>803.92813166884878</v>
      </c>
      <c r="F30" s="8">
        <f>('Traffic Volumes'!F31/'Traffic Volumes'!C31)*('Value of Travel Time'!D30*1.51)*'Value of Travel Time'!$L$11</f>
        <v>2875.1786918008779</v>
      </c>
      <c r="G30" s="8">
        <f>'Traffic Volumes'!D31/'Traffic Volumes'!B31*'Value of Travel Time'!D30*'Value of Travel Time'!$L$13</f>
        <v>208.42754969817466</v>
      </c>
      <c r="H30" s="85">
        <f t="shared" si="3"/>
        <v>3887.5343731679013</v>
      </c>
      <c r="I30" s="3"/>
      <c r="J30" s="3"/>
      <c r="K30" s="3"/>
      <c r="L30" s="3"/>
    </row>
    <row r="31" spans="1:15" x14ac:dyDescent="0.25">
      <c r="A31" s="18">
        <f t="shared" si="0"/>
        <v>2043</v>
      </c>
      <c r="B31" s="6">
        <f t="shared" si="1"/>
        <v>25</v>
      </c>
      <c r="C31" s="84">
        <f>'Traffic Volumes'!E32*1.16+'Traffic Volumes'!F32*1.51+'Traffic Volumes'!G32</f>
        <v>64518.717196099569</v>
      </c>
      <c r="D31" s="66">
        <f t="shared" si="2"/>
        <v>128.01332777003881</v>
      </c>
      <c r="E31" s="8">
        <f>('Traffic Volumes'!E32/'Traffic Volumes'!C32)*('Value of Travel Time'!D31*'Value of Travel Time'!$L$12)*1.16</f>
        <v>807.1619235351144</v>
      </c>
      <c r="F31" s="8">
        <f>('Traffic Volumes'!F32/'Traffic Volumes'!C32)*('Value of Travel Time'!D31*1.51)*'Value of Travel Time'!$L$11</f>
        <v>2886.7440657458178</v>
      </c>
      <c r="G31" s="8">
        <f>'Traffic Volumes'!D32/'Traffic Volumes'!B32*'Value of Travel Time'!D31*'Value of Travel Time'!$L$13</f>
        <v>209.26594717223819</v>
      </c>
      <c r="H31" s="85">
        <f t="shared" si="3"/>
        <v>3903.1719364531705</v>
      </c>
      <c r="I31" s="3"/>
      <c r="J31" s="3"/>
      <c r="K31" s="3"/>
      <c r="L31" s="3"/>
    </row>
    <row r="32" spans="1:15" x14ac:dyDescent="0.25">
      <c r="A32" s="18">
        <f t="shared" si="0"/>
        <v>2044</v>
      </c>
      <c r="B32" s="6">
        <f t="shared" si="1"/>
        <v>26</v>
      </c>
      <c r="C32" s="84">
        <f>'Traffic Volumes'!E33*1.16+'Traffic Volumes'!F33*1.51+'Traffic Volumes'!G33</f>
        <v>64777.203252994972</v>
      </c>
      <c r="D32" s="66">
        <f t="shared" si="2"/>
        <v>128.52619693054567</v>
      </c>
      <c r="E32" s="8">
        <f>('Traffic Volumes'!E33/'Traffic Volumes'!C33)*('Value of Travel Time'!D32*'Value of Travel Time'!$L$12)*1.16</f>
        <v>810.39571540138172</v>
      </c>
      <c r="F32" s="8">
        <f>('Traffic Volumes'!F33/'Traffic Volumes'!C33)*('Value of Travel Time'!D32*1.51)*'Value of Travel Time'!$L$11</f>
        <v>2898.3094396907609</v>
      </c>
      <c r="G32" s="8">
        <f>'Traffic Volumes'!D33/'Traffic Volumes'!B33*'Value of Travel Time'!D32*'Value of Travel Time'!$L$13</f>
        <v>210.10434464630151</v>
      </c>
      <c r="H32" s="85">
        <f t="shared" si="3"/>
        <v>3918.8094997384437</v>
      </c>
      <c r="I32" s="3"/>
      <c r="J32" s="3"/>
      <c r="K32" s="3"/>
      <c r="L32" s="3"/>
    </row>
    <row r="33" spans="1:12" x14ac:dyDescent="0.25">
      <c r="A33" s="18">
        <f t="shared" si="0"/>
        <v>2045</v>
      </c>
      <c r="B33" s="6">
        <f t="shared" si="1"/>
        <v>27</v>
      </c>
      <c r="C33" s="84">
        <f>'Traffic Volumes'!E34*1.16+'Traffic Volumes'!F34*1.51+'Traffic Volumes'!G34</f>
        <v>65035.689309890367</v>
      </c>
      <c r="D33" s="66">
        <f t="shared" si="2"/>
        <v>129.03906609105229</v>
      </c>
      <c r="E33" s="8">
        <f>('Traffic Volumes'!E34/'Traffic Volumes'!C34)*('Value of Travel Time'!D33*'Value of Travel Time'!$L$12)*1.16</f>
        <v>813.62950726764745</v>
      </c>
      <c r="F33" s="8">
        <f>('Traffic Volumes'!F34/'Traffic Volumes'!C34)*('Value of Travel Time'!D33*1.51)*'Value of Travel Time'!$L$11</f>
        <v>2909.8748136357003</v>
      </c>
      <c r="G33" s="8">
        <f>'Traffic Volumes'!D34/'Traffic Volumes'!B34*'Value of Travel Time'!D33*'Value of Travel Time'!$L$13</f>
        <v>210.94274212036501</v>
      </c>
      <c r="H33" s="85">
        <f t="shared" si="3"/>
        <v>3934.4470630237129</v>
      </c>
      <c r="I33" s="3"/>
      <c r="J33" s="3"/>
      <c r="K33" s="3"/>
      <c r="L33" s="3"/>
    </row>
    <row r="34" spans="1:12" x14ac:dyDescent="0.25">
      <c r="A34" s="18">
        <f t="shared" si="0"/>
        <v>2046</v>
      </c>
      <c r="B34" s="6">
        <f t="shared" si="1"/>
        <v>28</v>
      </c>
      <c r="C34" s="84">
        <f>'Traffic Volumes'!E35*1.16+'Traffic Volumes'!F35*1.51+'Traffic Volumes'!G35</f>
        <v>65294.17536678577</v>
      </c>
      <c r="D34" s="66">
        <f t="shared" si="2"/>
        <v>129.55193525155914</v>
      </c>
      <c r="E34" s="8">
        <f>('Traffic Volumes'!E35/'Traffic Volumes'!C35)*('Value of Travel Time'!D34*'Value of Travel Time'!$L$12)*1.16</f>
        <v>816.86329913391467</v>
      </c>
      <c r="F34" s="8">
        <f>('Traffic Volumes'!F35/'Traffic Volumes'!C35)*('Value of Travel Time'!D34*1.51)*'Value of Travel Time'!$L$11</f>
        <v>2921.4401875806443</v>
      </c>
      <c r="G34" s="8">
        <f>'Traffic Volumes'!D35/'Traffic Volumes'!B35*'Value of Travel Time'!D34*'Value of Travel Time'!$L$13</f>
        <v>211.78113959442891</v>
      </c>
      <c r="H34" s="85">
        <f t="shared" si="3"/>
        <v>3950.0846263089879</v>
      </c>
      <c r="I34" s="3"/>
      <c r="J34" s="3"/>
      <c r="K34" s="3"/>
      <c r="L34" s="3"/>
    </row>
    <row r="35" spans="1:12" x14ac:dyDescent="0.25">
      <c r="A35" s="18">
        <f t="shared" si="0"/>
        <v>2047</v>
      </c>
      <c r="B35" s="6">
        <f t="shared" si="1"/>
        <v>29</v>
      </c>
      <c r="C35" s="84">
        <f>'Traffic Volumes'!E36*1.16+'Traffic Volumes'!F36*1.51+'Traffic Volumes'!G36</f>
        <v>65552.661423681158</v>
      </c>
      <c r="D35" s="66">
        <f t="shared" si="2"/>
        <v>130.06480441206577</v>
      </c>
      <c r="E35" s="8">
        <f>('Traffic Volumes'!E36/'Traffic Volumes'!C36)*('Value of Travel Time'!D35*'Value of Travel Time'!$L$12)*1.16</f>
        <v>820.09709100018051</v>
      </c>
      <c r="F35" s="8">
        <f>('Traffic Volumes'!F36/'Traffic Volumes'!C36)*('Value of Travel Time'!D35*1.51)*'Value of Travel Time'!$L$11</f>
        <v>2933.0055615255833</v>
      </c>
      <c r="G35" s="8">
        <f>'Traffic Volumes'!D36/'Traffic Volumes'!B36*'Value of Travel Time'!D35*'Value of Travel Time'!$L$13</f>
        <v>212.61953706849243</v>
      </c>
      <c r="H35" s="85">
        <f t="shared" si="3"/>
        <v>3965.7221895942562</v>
      </c>
      <c r="I35" s="3"/>
      <c r="J35" s="3"/>
      <c r="K35" s="3"/>
      <c r="L35" s="3"/>
    </row>
    <row r="36" spans="1:12" x14ac:dyDescent="0.25">
      <c r="A36" s="18">
        <f t="shared" si="0"/>
        <v>2048</v>
      </c>
      <c r="B36" s="6">
        <f t="shared" si="1"/>
        <v>30</v>
      </c>
      <c r="C36" s="84">
        <f>'Traffic Volumes'!E37*1.16+'Traffic Volumes'!F37*1.51+'Traffic Volumes'!G37</f>
        <v>65811.147480576561</v>
      </c>
      <c r="D36" s="66">
        <f t="shared" si="2"/>
        <v>130.57767357257262</v>
      </c>
      <c r="E36" s="8">
        <f>('Traffic Volumes'!E37/'Traffic Volumes'!C37)*('Value of Travel Time'!D36*'Value of Travel Time'!$L$12)*1.16</f>
        <v>823.33088286644795</v>
      </c>
      <c r="F36" s="8">
        <f>('Traffic Volumes'!F37/'Traffic Volumes'!C37)*('Value of Travel Time'!D36*1.51)*'Value of Travel Time'!$L$11</f>
        <v>2944.5709354705273</v>
      </c>
      <c r="G36" s="8">
        <f>'Traffic Volumes'!D37/'Traffic Volumes'!B37*'Value of Travel Time'!D36*'Value of Travel Time'!$L$13</f>
        <v>213.4579345425563</v>
      </c>
      <c r="H36" s="85">
        <f t="shared" si="3"/>
        <v>3981.3597528795317</v>
      </c>
      <c r="I36" s="3"/>
      <c r="J36" s="3"/>
      <c r="K36" s="3"/>
      <c r="L36" s="3"/>
    </row>
    <row r="37" spans="1:12" x14ac:dyDescent="0.25">
      <c r="A37" s="18">
        <f t="shared" si="0"/>
        <v>2049</v>
      </c>
      <c r="B37" s="6">
        <f t="shared" si="1"/>
        <v>31</v>
      </c>
      <c r="C37" s="84">
        <f>'Traffic Volumes'!E38*1.16+'Traffic Volumes'!F38*1.51+'Traffic Volumes'!G38</f>
        <v>66069.633537471964</v>
      </c>
      <c r="D37" s="66">
        <f t="shared" si="2"/>
        <v>131.09054273307925</v>
      </c>
      <c r="E37" s="8">
        <f>('Traffic Volumes'!E38/'Traffic Volumes'!C38)*('Value of Travel Time'!D37*'Value of Travel Time'!$L$12)*1.16</f>
        <v>826.56467473271346</v>
      </c>
      <c r="F37" s="8">
        <f>('Traffic Volumes'!F38/'Traffic Volumes'!C38)*('Value of Travel Time'!D37*1.51)*'Value of Travel Time'!$L$11</f>
        <v>2956.1363094154663</v>
      </c>
      <c r="G37" s="8">
        <f>'Traffic Volumes'!D38/'Traffic Volumes'!B38*'Value of Travel Time'!D37*'Value of Travel Time'!$L$13</f>
        <v>214.29633201661929</v>
      </c>
      <c r="H37" s="85">
        <f t="shared" si="3"/>
        <v>3996.9973161647986</v>
      </c>
      <c r="I37" s="3"/>
      <c r="J37" s="3"/>
      <c r="K37" s="3"/>
      <c r="L37" s="3"/>
    </row>
    <row r="38" spans="1:12" x14ac:dyDescent="0.25">
      <c r="A38" s="18">
        <f t="shared" si="0"/>
        <v>2050</v>
      </c>
      <c r="B38" s="6">
        <f t="shared" si="1"/>
        <v>32</v>
      </c>
      <c r="C38" s="84">
        <f>'Traffic Volumes'!E39*1.16+'Traffic Volumes'!F39*1.51+'Traffic Volumes'!G39</f>
        <v>66328.119594367367</v>
      </c>
      <c r="D38" s="66">
        <f t="shared" si="2"/>
        <v>131.6034118935861</v>
      </c>
      <c r="E38" s="8">
        <f>('Traffic Volumes'!E39/'Traffic Volumes'!C39)*('Value of Travel Time'!D38*'Value of Travel Time'!$L$12)*1.16</f>
        <v>829.79846659898089</v>
      </c>
      <c r="F38" s="8">
        <f>('Traffic Volumes'!F39/'Traffic Volumes'!C39)*('Value of Travel Time'!D38*1.51)*'Value of Travel Time'!$L$11</f>
        <v>2967.7016833604112</v>
      </c>
      <c r="G38" s="8">
        <f>'Traffic Volumes'!D39/'Traffic Volumes'!B39*'Value of Travel Time'!D38*'Value of Travel Time'!$L$13</f>
        <v>215.13472949068316</v>
      </c>
      <c r="H38" s="85">
        <f t="shared" si="3"/>
        <v>4012.634879450075</v>
      </c>
      <c r="I38" s="3"/>
      <c r="J38" s="3"/>
      <c r="K38" s="3"/>
      <c r="L38" s="3"/>
    </row>
    <row r="39" spans="1:12" x14ac:dyDescent="0.25">
      <c r="A39" s="18">
        <f t="shared" si="0"/>
        <v>2051</v>
      </c>
      <c r="B39" s="6">
        <f t="shared" si="1"/>
        <v>33</v>
      </c>
      <c r="C39" s="84">
        <f>'Traffic Volumes'!E40*1.16+'Traffic Volumes'!F40*1.51+'Traffic Volumes'!G40</f>
        <v>66586.605651262769</v>
      </c>
      <c r="D39" s="66">
        <f t="shared" si="2"/>
        <v>132.11628105409272</v>
      </c>
      <c r="E39" s="8">
        <f>('Traffic Volumes'!E40/'Traffic Volumes'!C40)*('Value of Travel Time'!D39*'Value of Travel Time'!$L$12)*1.16</f>
        <v>833.03225846524663</v>
      </c>
      <c r="F39" s="8">
        <f>('Traffic Volumes'!F40/'Traffic Volumes'!C40)*('Value of Travel Time'!D39*1.51)*'Value of Travel Time'!$L$11</f>
        <v>2979.2670573053492</v>
      </c>
      <c r="G39" s="8">
        <f>'Traffic Volumes'!D40/'Traffic Volumes'!B40*'Value of Travel Time'!D39*'Value of Travel Time'!$L$13</f>
        <v>215.97312696474665</v>
      </c>
      <c r="H39" s="85">
        <f t="shared" si="3"/>
        <v>4028.2724427353428</v>
      </c>
      <c r="I39" s="3"/>
      <c r="J39" s="3"/>
      <c r="K39" s="3"/>
      <c r="L39" s="3"/>
    </row>
    <row r="40" spans="1:12" x14ac:dyDescent="0.25">
      <c r="A40" s="18">
        <f t="shared" si="0"/>
        <v>2052</v>
      </c>
      <c r="B40" s="6">
        <f t="shared" si="1"/>
        <v>34</v>
      </c>
      <c r="C40" s="84">
        <f>'Traffic Volumes'!E41*1.16+'Traffic Volumes'!F41*1.51+'Traffic Volumes'!G41</f>
        <v>66845.091708158172</v>
      </c>
      <c r="D40" s="66">
        <f t="shared" si="2"/>
        <v>132.62915021459958</v>
      </c>
      <c r="E40" s="8">
        <f>('Traffic Volumes'!E41/'Traffic Volumes'!C41)*('Value of Travel Time'!D40*'Value of Travel Time'!$L$12)*1.16</f>
        <v>836.26605033151384</v>
      </c>
      <c r="F40" s="8">
        <f>('Traffic Volumes'!F41/'Traffic Volumes'!C41)*('Value of Travel Time'!D40*1.51)*'Value of Travel Time'!$L$11</f>
        <v>2990.8324312502941</v>
      </c>
      <c r="G40" s="8">
        <f>'Traffic Volumes'!D41/'Traffic Volumes'!B41*'Value of Travel Time'!D40*'Value of Travel Time'!$L$13</f>
        <v>216.81152443881055</v>
      </c>
      <c r="H40" s="85">
        <f t="shared" si="3"/>
        <v>4043.9100060206183</v>
      </c>
      <c r="I40" s="3"/>
      <c r="J40" s="3"/>
      <c r="K40" s="3"/>
      <c r="L40" s="3"/>
    </row>
    <row r="41" spans="1:12" x14ac:dyDescent="0.25">
      <c r="A41" s="18">
        <f t="shared" si="0"/>
        <v>2053</v>
      </c>
      <c r="B41" s="6">
        <f t="shared" si="1"/>
        <v>35</v>
      </c>
      <c r="C41" s="84">
        <f>'Traffic Volumes'!E42*1.16+'Traffic Volumes'!F42*1.51+'Traffic Volumes'!G42</f>
        <v>67103.577765053575</v>
      </c>
      <c r="D41" s="66">
        <f t="shared" si="2"/>
        <v>133.14201937510643</v>
      </c>
      <c r="E41" s="8">
        <f>('Traffic Volumes'!E42/'Traffic Volumes'!C42)*('Value of Travel Time'!D41*'Value of Travel Time'!$L$12)*1.16</f>
        <v>839.49984219778094</v>
      </c>
      <c r="F41" s="8">
        <f>('Traffic Volumes'!F42/'Traffic Volumes'!C42)*('Value of Travel Time'!D41*1.51)*'Value of Travel Time'!$L$11</f>
        <v>3002.3978051952377</v>
      </c>
      <c r="G41" s="8">
        <f>'Traffic Volumes'!D42/'Traffic Volumes'!B42*'Value of Travel Time'!D41*'Value of Travel Time'!$L$13</f>
        <v>217.64992191287391</v>
      </c>
      <c r="H41" s="85">
        <f t="shared" si="3"/>
        <v>4059.5475693058929</v>
      </c>
      <c r="I41" s="3"/>
      <c r="J41" s="3"/>
      <c r="K41" s="3"/>
      <c r="L41" s="3"/>
    </row>
    <row r="42" spans="1:12" x14ac:dyDescent="0.25">
      <c r="A42" s="18">
        <f t="shared" si="0"/>
        <v>2054</v>
      </c>
      <c r="B42" s="6">
        <f t="shared" si="1"/>
        <v>36</v>
      </c>
      <c r="C42" s="84">
        <f>'Traffic Volumes'!E43*1.16+'Traffic Volumes'!F43*1.51+'Traffic Volumes'!G43</f>
        <v>67362.063821948948</v>
      </c>
      <c r="D42" s="66">
        <f t="shared" si="2"/>
        <v>133.65488853561305</v>
      </c>
      <c r="E42" s="8">
        <f>('Traffic Volumes'!E43/'Traffic Volumes'!C43)*('Value of Travel Time'!D42*'Value of Travel Time'!$L$12)*1.16</f>
        <v>842.73363406404678</v>
      </c>
      <c r="F42" s="8">
        <f>('Traffic Volumes'!F43/'Traffic Volumes'!C43)*('Value of Travel Time'!D42*1.51)*'Value of Travel Time'!$L$11</f>
        <v>3013.9631791401766</v>
      </c>
      <c r="G42" s="8">
        <f>'Traffic Volumes'!D43/'Traffic Volumes'!B43*'Value of Travel Time'!D42*'Value of Travel Time'!$L$13</f>
        <v>218.48831938693741</v>
      </c>
      <c r="H42" s="85">
        <f t="shared" si="3"/>
        <v>4075.1851325911607</v>
      </c>
      <c r="I42" s="3"/>
      <c r="J42" s="3"/>
      <c r="K42" s="3"/>
      <c r="L42" s="3"/>
    </row>
    <row r="43" spans="1:12" x14ac:dyDescent="0.25">
      <c r="A43" s="18">
        <f t="shared" si="0"/>
        <v>2055</v>
      </c>
      <c r="B43" s="6">
        <f t="shared" si="1"/>
        <v>37</v>
      </c>
      <c r="C43" s="84">
        <f>'Traffic Volumes'!E44*1.16+'Traffic Volumes'!F44*1.51+'Traffic Volumes'!G44</f>
        <v>67620.549878844366</v>
      </c>
      <c r="D43" s="66">
        <f t="shared" si="2"/>
        <v>134.16775769611991</v>
      </c>
      <c r="E43" s="8">
        <f>('Traffic Volumes'!E44/'Traffic Volumes'!C44)*('Value of Travel Time'!D43*'Value of Travel Time'!$L$12)*1.16</f>
        <v>845.96742593031388</v>
      </c>
      <c r="F43" s="8">
        <f>('Traffic Volumes'!F44/'Traffic Volumes'!C44)*('Value of Travel Time'!D43*1.51)*'Value of Travel Time'!$L$11</f>
        <v>3025.5285530851206</v>
      </c>
      <c r="G43" s="8">
        <f>'Traffic Volumes'!D44/'Traffic Volumes'!B44*'Value of Travel Time'!D43*'Value of Travel Time'!$L$13</f>
        <v>219.32671686100127</v>
      </c>
      <c r="H43" s="85">
        <f t="shared" si="3"/>
        <v>4090.8226958764358</v>
      </c>
      <c r="I43" s="3"/>
      <c r="J43" s="3"/>
      <c r="K43" s="3"/>
      <c r="L43" s="3"/>
    </row>
    <row r="44" spans="1:12" x14ac:dyDescent="0.25">
      <c r="A44" s="18">
        <f t="shared" si="0"/>
        <v>2056</v>
      </c>
      <c r="B44" s="6">
        <f t="shared" si="1"/>
        <v>38</v>
      </c>
      <c r="C44" s="84">
        <f>'Traffic Volumes'!E45*1.16+'Traffic Volumes'!F45*1.51+'Traffic Volumes'!G45</f>
        <v>67879.035935739754</v>
      </c>
      <c r="D44" s="66">
        <f t="shared" si="2"/>
        <v>134.68062685662653</v>
      </c>
      <c r="E44" s="8">
        <f>('Traffic Volumes'!E45/'Traffic Volumes'!C45)*('Value of Travel Time'!D44*'Value of Travel Time'!$L$12)*1.16</f>
        <v>849.20121779657984</v>
      </c>
      <c r="F44" s="8">
        <f>('Traffic Volumes'!F45/'Traffic Volumes'!C45)*('Value of Travel Time'!D44*1.51)*'Value of Travel Time'!$L$11</f>
        <v>3037.0939270300601</v>
      </c>
      <c r="G44" s="8">
        <f>'Traffic Volumes'!D45/'Traffic Volumes'!B45*'Value of Travel Time'!D44*'Value of Travel Time'!$L$13</f>
        <v>220.16511433506477</v>
      </c>
      <c r="H44" s="85">
        <f t="shared" si="3"/>
        <v>4106.4602591617049</v>
      </c>
      <c r="I44" s="3"/>
      <c r="J44" s="3"/>
      <c r="K44" s="3"/>
      <c r="L44" s="3"/>
    </row>
    <row r="45" spans="1:12" x14ac:dyDescent="0.25">
      <c r="A45" s="18">
        <f t="shared" si="0"/>
        <v>2057</v>
      </c>
      <c r="B45" s="6">
        <f t="shared" si="1"/>
        <v>39</v>
      </c>
      <c r="C45" s="84">
        <f>'Traffic Volumes'!E46*1.16+'Traffic Volumes'!F46*1.51+'Traffic Volumes'!G46</f>
        <v>68137.521992635156</v>
      </c>
      <c r="D45" s="66">
        <f t="shared" si="2"/>
        <v>135.19349601713338</v>
      </c>
      <c r="E45" s="8">
        <f>('Traffic Volumes'!E46/'Traffic Volumes'!C46)*('Value of Travel Time'!D45*'Value of Travel Time'!$L$12)*1.16</f>
        <v>852.43500966284694</v>
      </c>
      <c r="F45" s="8">
        <f>('Traffic Volumes'!F46/'Traffic Volumes'!C46)*('Value of Travel Time'!D45*1.51)*'Value of Travel Time'!$L$11</f>
        <v>3048.659300975004</v>
      </c>
      <c r="G45" s="8">
        <f>'Traffic Volumes'!D46/'Traffic Volumes'!B46*'Value of Travel Time'!D45*'Value of Travel Time'!$L$13</f>
        <v>221.00351180912872</v>
      </c>
      <c r="H45" s="85">
        <f t="shared" si="3"/>
        <v>4122.09782244698</v>
      </c>
      <c r="I45" s="3"/>
      <c r="J45" s="3"/>
      <c r="K45" s="3"/>
      <c r="L45" s="3"/>
    </row>
    <row r="46" spans="1:12" x14ac:dyDescent="0.25">
      <c r="A46" s="18">
        <f t="shared" si="0"/>
        <v>2058</v>
      </c>
      <c r="B46" s="6">
        <f t="shared" si="1"/>
        <v>40</v>
      </c>
      <c r="C46" s="84">
        <f>'Traffic Volumes'!E47*1.16+'Traffic Volumes'!F47*1.51+'Traffic Volumes'!G47</f>
        <v>68396.008049530559</v>
      </c>
      <c r="D46" s="66">
        <f t="shared" si="2"/>
        <v>135.70636517764001</v>
      </c>
      <c r="E46" s="8">
        <f>('Traffic Volumes'!E47/'Traffic Volumes'!C47)*('Value of Travel Time'!D46*'Value of Travel Time'!$L$12)*1.16</f>
        <v>855.66880152911267</v>
      </c>
      <c r="F46" s="8">
        <f>('Traffic Volumes'!F47/'Traffic Volumes'!C47)*('Value of Travel Time'!D46*1.51)*'Value of Travel Time'!$L$11</f>
        <v>3060.224674919943</v>
      </c>
      <c r="G46" s="8">
        <f>'Traffic Volumes'!D47/'Traffic Volumes'!B47*'Value of Travel Time'!D46*'Value of Travel Time'!$L$13</f>
        <v>221.84190928319163</v>
      </c>
      <c r="H46" s="85">
        <f t="shared" si="3"/>
        <v>4137.7353857322478</v>
      </c>
      <c r="I46" s="3"/>
      <c r="J46" s="3"/>
      <c r="K46" s="3"/>
      <c r="L46" s="3"/>
    </row>
    <row r="47" spans="1:12" x14ac:dyDescent="0.25">
      <c r="A47" s="18">
        <f t="shared" si="0"/>
        <v>2059</v>
      </c>
      <c r="B47" s="6">
        <f t="shared" si="1"/>
        <v>41</v>
      </c>
      <c r="C47" s="84">
        <f>'Traffic Volumes'!E48*1.16+'Traffic Volumes'!F48*1.51+'Traffic Volumes'!G48</f>
        <v>68654.494106425933</v>
      </c>
      <c r="D47" s="66">
        <f t="shared" si="2"/>
        <v>136.21923433814663</v>
      </c>
      <c r="E47" s="8">
        <f>('Traffic Volumes'!E48/'Traffic Volumes'!C48)*('Value of Travel Time'!D47*'Value of Travel Time'!$L$12)*1.16</f>
        <v>858.90259339537852</v>
      </c>
      <c r="F47" s="8">
        <f>('Traffic Volumes'!F48/'Traffic Volumes'!C48)*('Value of Travel Time'!D47*1.51)*'Value of Travel Time'!$L$11</f>
        <v>3071.7900488648816</v>
      </c>
      <c r="G47" s="8">
        <f>'Traffic Volumes'!D48/'Traffic Volumes'!B48*'Value of Travel Time'!D47*'Value of Travel Time'!$L$13</f>
        <v>222.68030675725518</v>
      </c>
      <c r="H47" s="85">
        <f t="shared" si="3"/>
        <v>4153.3729490175156</v>
      </c>
      <c r="I47" s="3"/>
      <c r="J47" s="3"/>
      <c r="K47" s="3"/>
      <c r="L47" s="3"/>
    </row>
    <row r="48" spans="1:12" x14ac:dyDescent="0.25">
      <c r="A48" s="18">
        <f t="shared" si="0"/>
        <v>2060</v>
      </c>
      <c r="B48" s="6">
        <f t="shared" si="1"/>
        <v>42</v>
      </c>
      <c r="C48" s="84">
        <f>'Traffic Volumes'!E49*1.16+'Traffic Volumes'!F49*1.51+'Traffic Volumes'!G49</f>
        <v>68912.98016332135</v>
      </c>
      <c r="D48" s="66">
        <f t="shared" si="2"/>
        <v>136.73210349865349</v>
      </c>
      <c r="E48" s="8">
        <f>('Traffic Volumes'!E49/'Traffic Volumes'!C49)*('Value of Travel Time'!D48*'Value of Travel Time'!$L$12)*1.16</f>
        <v>862.13638526164573</v>
      </c>
      <c r="F48" s="8">
        <f>('Traffic Volumes'!F49/'Traffic Volumes'!C49)*('Value of Travel Time'!D48*1.51)*'Value of Travel Time'!$L$11</f>
        <v>3083.355422809826</v>
      </c>
      <c r="G48" s="8">
        <f>'Traffic Volumes'!D49/'Traffic Volumes'!B49*'Value of Travel Time'!D48*'Value of Travel Time'!$L$13</f>
        <v>223.51870423131902</v>
      </c>
      <c r="H48" s="85">
        <f t="shared" si="3"/>
        <v>4169.0105123027906</v>
      </c>
      <c r="I48" s="3"/>
      <c r="J48" s="3"/>
      <c r="K48" s="3"/>
      <c r="L48" s="3"/>
    </row>
    <row r="49" spans="1:12" x14ac:dyDescent="0.25">
      <c r="A49" s="18">
        <f t="shared" si="0"/>
        <v>2061</v>
      </c>
      <c r="B49" s="6">
        <f t="shared" si="1"/>
        <v>43</v>
      </c>
      <c r="C49" s="84">
        <f>'Traffic Volumes'!E50*1.16+'Traffic Volumes'!F50*1.51+'Traffic Volumes'!G50</f>
        <v>69171.466220216738</v>
      </c>
      <c r="D49" s="66">
        <f t="shared" si="2"/>
        <v>137.24497265916011</v>
      </c>
      <c r="E49" s="8">
        <f>('Traffic Volumes'!E50/'Traffic Volumes'!C50)*('Value of Travel Time'!D49*'Value of Travel Time'!$L$12)*1.16</f>
        <v>865.37017712791146</v>
      </c>
      <c r="F49" s="8">
        <f>('Traffic Volumes'!F50/'Traffic Volumes'!C50)*('Value of Travel Time'!D49*1.51)*'Value of Travel Time'!$L$11</f>
        <v>3094.9207967547645</v>
      </c>
      <c r="G49" s="8">
        <f>'Traffic Volumes'!D50/'Traffic Volumes'!B50*'Value of Travel Time'!D49*'Value of Travel Time'!$L$13</f>
        <v>224.35710170538255</v>
      </c>
      <c r="H49" s="85">
        <f t="shared" si="3"/>
        <v>4184.6480755880584</v>
      </c>
      <c r="I49" s="3"/>
      <c r="J49" s="3"/>
      <c r="K49" s="3"/>
      <c r="L49" s="3"/>
    </row>
    <row r="50" spans="1:12" x14ac:dyDescent="0.25">
      <c r="A50" s="18">
        <f t="shared" si="0"/>
        <v>2062</v>
      </c>
      <c r="B50" s="6">
        <f t="shared" si="1"/>
        <v>44</v>
      </c>
      <c r="C50" s="84">
        <f>'Traffic Volumes'!E51*1.16+'Traffic Volumes'!F51*1.51+'Traffic Volumes'!G51</f>
        <v>69429.952277112141</v>
      </c>
      <c r="D50" s="66">
        <f t="shared" si="2"/>
        <v>137.75784181966696</v>
      </c>
      <c r="E50" s="8">
        <f>('Traffic Volumes'!E51/'Traffic Volumes'!C51)*('Value of Travel Time'!D50*'Value of Travel Time'!$L$12)*1.16</f>
        <v>868.60396899417879</v>
      </c>
      <c r="F50" s="8">
        <f>('Traffic Volumes'!F51/'Traffic Volumes'!C51)*('Value of Travel Time'!D50*1.51)*'Value of Travel Time'!$L$11</f>
        <v>3106.4861706997085</v>
      </c>
      <c r="G50" s="8">
        <f>'Traffic Volumes'!D51/'Traffic Volumes'!B51*'Value of Travel Time'!D50*'Value of Travel Time'!$L$13</f>
        <v>225.19549917944587</v>
      </c>
      <c r="H50" s="85">
        <f t="shared" si="3"/>
        <v>4200.2856388733326</v>
      </c>
      <c r="I50" s="3"/>
      <c r="J50" s="3"/>
      <c r="K50" s="3"/>
      <c r="L50" s="3"/>
    </row>
    <row r="51" spans="1:12" x14ac:dyDescent="0.25">
      <c r="A51" s="18">
        <f t="shared" si="0"/>
        <v>2063</v>
      </c>
      <c r="B51" s="6">
        <f t="shared" si="1"/>
        <v>45</v>
      </c>
      <c r="C51" s="84">
        <f>'Traffic Volumes'!E52*1.16+'Traffic Volumes'!F52*1.51+'Traffic Volumes'!G52</f>
        <v>69688.438334007544</v>
      </c>
      <c r="D51" s="66">
        <f t="shared" si="2"/>
        <v>138.27071098017359</v>
      </c>
      <c r="E51" s="8">
        <f>('Traffic Volumes'!E52/'Traffic Volumes'!C52)*('Value of Travel Time'!D51*'Value of Travel Time'!$L$12)*1.16</f>
        <v>871.83776086044452</v>
      </c>
      <c r="F51" s="8">
        <f>('Traffic Volumes'!F52/'Traffic Volumes'!C52)*('Value of Travel Time'!D51*1.51)*'Value of Travel Time'!$L$11</f>
        <v>3118.0515446446479</v>
      </c>
      <c r="G51" s="8">
        <f>'Traffic Volumes'!D52/'Traffic Volumes'!B52*'Value of Travel Time'!D51*'Value of Travel Time'!$L$13</f>
        <v>226.0338966535094</v>
      </c>
      <c r="H51" s="85">
        <f t="shared" si="3"/>
        <v>4215.9232021586022</v>
      </c>
      <c r="I51" s="3"/>
      <c r="J51" s="3"/>
      <c r="K51" s="3"/>
      <c r="L51" s="3"/>
    </row>
    <row r="52" spans="1:12" x14ac:dyDescent="0.25">
      <c r="A52" s="18">
        <f t="shared" si="0"/>
        <v>2064</v>
      </c>
      <c r="B52" s="6">
        <f t="shared" si="1"/>
        <v>46</v>
      </c>
      <c r="C52" s="84">
        <f>'Traffic Volumes'!E53*1.16+'Traffic Volumes'!F53*1.51+'Traffic Volumes'!G53</f>
        <v>69946.924390902946</v>
      </c>
      <c r="D52" s="66">
        <f t="shared" si="2"/>
        <v>138.78358014068044</v>
      </c>
      <c r="E52" s="8">
        <f>('Traffic Volumes'!E53/'Traffic Volumes'!C53)*('Value of Travel Time'!D52*'Value of Travel Time'!$L$12)*1.16</f>
        <v>875.07155272671173</v>
      </c>
      <c r="F52" s="8">
        <f>('Traffic Volumes'!F53/'Traffic Volumes'!C53)*('Value of Travel Time'!D52*1.51)*'Value of Travel Time'!$L$11</f>
        <v>3129.6169185895915</v>
      </c>
      <c r="G52" s="8">
        <f>'Traffic Volumes'!D53/'Traffic Volumes'!B53*'Value of Travel Time'!D52*'Value of Travel Time'!$L$13</f>
        <v>226.8722941275733</v>
      </c>
      <c r="H52" s="85">
        <f t="shared" si="3"/>
        <v>4231.5607654438763</v>
      </c>
      <c r="I52" s="3"/>
      <c r="J52" s="3"/>
      <c r="K52" s="3"/>
      <c r="L52" s="3"/>
    </row>
    <row r="53" spans="1:12" x14ac:dyDescent="0.25">
      <c r="A53" s="18">
        <f t="shared" si="0"/>
        <v>2065</v>
      </c>
      <c r="B53" s="6">
        <f t="shared" si="1"/>
        <v>47</v>
      </c>
      <c r="C53" s="84">
        <f>'Traffic Volumes'!E54*1.16+'Traffic Volumes'!F54*1.51+'Traffic Volumes'!G54</f>
        <v>70205.410447798335</v>
      </c>
      <c r="D53" s="66">
        <f t="shared" si="2"/>
        <v>139.29644930118707</v>
      </c>
      <c r="E53" s="8">
        <f>('Traffic Volumes'!E54/'Traffic Volumes'!C54)*('Value of Travel Time'!D53*'Value of Travel Time'!$L$12)*1.16</f>
        <v>878.30534459297746</v>
      </c>
      <c r="F53" s="8">
        <f>('Traffic Volumes'!F54/'Traffic Volumes'!C54)*('Value of Travel Time'!D53*1.51)*'Value of Travel Time'!$L$11</f>
        <v>3141.1822925345314</v>
      </c>
      <c r="G53" s="8">
        <f>'Traffic Volumes'!D54/'Traffic Volumes'!B54*'Value of Travel Time'!D53*'Value of Travel Time'!$L$13</f>
        <v>227.7106916016368</v>
      </c>
      <c r="H53" s="85">
        <f t="shared" si="3"/>
        <v>4247.198328729145</v>
      </c>
      <c r="I53" s="3"/>
      <c r="J53" s="3"/>
      <c r="K53" s="3"/>
      <c r="L53" s="3"/>
    </row>
    <row r="54" spans="1:12" x14ac:dyDescent="0.25">
      <c r="A54" s="18">
        <f t="shared" si="0"/>
        <v>2066</v>
      </c>
      <c r="B54" s="6">
        <f t="shared" si="1"/>
        <v>48</v>
      </c>
      <c r="C54" s="84">
        <f>'Traffic Volumes'!E55*1.16+'Traffic Volumes'!F55*1.51+'Traffic Volumes'!G55</f>
        <v>70463.896504693752</v>
      </c>
      <c r="D54" s="66">
        <f t="shared" si="2"/>
        <v>139.80931846169392</v>
      </c>
      <c r="E54" s="8">
        <f>('Traffic Volumes'!E55/'Traffic Volumes'!C55)*('Value of Travel Time'!D54*'Value of Travel Time'!$L$12)*1.16</f>
        <v>881.53913645924467</v>
      </c>
      <c r="F54" s="8">
        <f>('Traffic Volumes'!F55/'Traffic Volumes'!C55)*('Value of Travel Time'!D54*1.51)*'Value of Travel Time'!$L$11</f>
        <v>3152.7476664794754</v>
      </c>
      <c r="G54" s="8">
        <f>'Traffic Volumes'!D55/'Traffic Volumes'!B55*'Value of Travel Time'!D54*'Value of Travel Time'!$L$13</f>
        <v>228.54908907570069</v>
      </c>
      <c r="H54" s="85">
        <f t="shared" si="3"/>
        <v>4262.835892014421</v>
      </c>
      <c r="I54" s="3"/>
      <c r="J54" s="3"/>
      <c r="K54" s="3"/>
      <c r="L54" s="3"/>
    </row>
    <row r="55" spans="1:12" x14ac:dyDescent="0.25">
      <c r="A55" s="18">
        <f t="shared" si="0"/>
        <v>2067</v>
      </c>
      <c r="B55" s="6">
        <f t="shared" si="1"/>
        <v>49</v>
      </c>
      <c r="C55" s="84">
        <f>'Traffic Volumes'!E56*1.16+'Traffic Volumes'!F56*1.51+'Traffic Volumes'!G56</f>
        <v>70722.382561589155</v>
      </c>
      <c r="D55" s="66">
        <f t="shared" si="2"/>
        <v>140.32218762220054</v>
      </c>
      <c r="E55" s="8">
        <f>('Traffic Volumes'!E56/'Traffic Volumes'!C56)*('Value of Travel Time'!D55*'Value of Travel Time'!$L$12)*1.16</f>
        <v>884.77292832551063</v>
      </c>
      <c r="F55" s="8">
        <f>('Traffic Volumes'!F56/'Traffic Volumes'!C56)*('Value of Travel Time'!D55*1.51)*'Value of Travel Time'!$L$11</f>
        <v>3164.3130404244139</v>
      </c>
      <c r="G55" s="8">
        <f>'Traffic Volumes'!D56/'Traffic Volumes'!B56*'Value of Travel Time'!D55*'Value of Travel Time'!$L$13</f>
        <v>229.38748654976365</v>
      </c>
      <c r="H55" s="85">
        <f t="shared" si="3"/>
        <v>4278.4734552996879</v>
      </c>
      <c r="I55" s="3"/>
      <c r="J55" s="3"/>
      <c r="K55" s="3"/>
      <c r="L55" s="3"/>
    </row>
    <row r="56" spans="1:12" x14ac:dyDescent="0.25">
      <c r="A56" s="18">
        <f t="shared" si="0"/>
        <v>2068</v>
      </c>
      <c r="B56" s="6">
        <f t="shared" si="1"/>
        <v>50</v>
      </c>
      <c r="C56" s="84">
        <f>'Traffic Volumes'!E57*1.16+'Traffic Volumes'!F57*1.51+'Traffic Volumes'!G57</f>
        <v>70980.868618484528</v>
      </c>
      <c r="D56" s="66">
        <f t="shared" si="2"/>
        <v>140.8350567827074</v>
      </c>
      <c r="E56" s="8">
        <f>('Traffic Volumes'!E57/'Traffic Volumes'!C57)*('Value of Travel Time'!D56*'Value of Travel Time'!$L$12)*1.16</f>
        <v>888.00672019177773</v>
      </c>
      <c r="F56" s="8">
        <f>('Traffic Volumes'!F57/'Traffic Volumes'!C57)*('Value of Travel Time'!D56*1.51)*'Value of Travel Time'!$L$11</f>
        <v>3175.8784143693579</v>
      </c>
      <c r="G56" s="8">
        <f>'Traffic Volumes'!D57/'Traffic Volumes'!B57*'Value of Travel Time'!D56*'Value of Travel Time'!$L$13</f>
        <v>230.22588402382752</v>
      </c>
      <c r="H56" s="85">
        <f t="shared" si="3"/>
        <v>4294.1110185849629</v>
      </c>
      <c r="I56" s="3"/>
      <c r="J56" s="3"/>
      <c r="K56" s="3"/>
      <c r="L56" s="3"/>
    </row>
    <row r="57" spans="1:12" x14ac:dyDescent="0.25">
      <c r="A57" s="18">
        <f>1+A56:A56</f>
        <v>2069</v>
      </c>
      <c r="B57" s="6">
        <f t="shared" si="1"/>
        <v>51</v>
      </c>
      <c r="C57" s="84">
        <f>'Traffic Volumes'!E58*1.16+'Traffic Volumes'!F58*1.51+'Traffic Volumes'!G58</f>
        <v>71239.354675379931</v>
      </c>
      <c r="D57" s="66">
        <f t="shared" si="2"/>
        <v>141.34792594321425</v>
      </c>
      <c r="E57" s="8">
        <f>('Traffic Volumes'!E58/'Traffic Volumes'!C58)*('Value of Travel Time'!D57*'Value of Travel Time'!$L$12)*1.16</f>
        <v>891.24051205804494</v>
      </c>
      <c r="F57" s="8">
        <f>('Traffic Volumes'!F58/'Traffic Volumes'!C58)*('Value of Travel Time'!D57*1.51)*'Value of Travel Time'!$L$11</f>
        <v>3187.4437883143023</v>
      </c>
      <c r="G57" s="8">
        <f>'Traffic Volumes'!D58/'Traffic Volumes'!B58*'Value of Travel Time'!D57*'Value of Travel Time'!$L$13</f>
        <v>231.06428149789141</v>
      </c>
      <c r="H57" s="85">
        <f t="shared" si="3"/>
        <v>4309.748581870238</v>
      </c>
      <c r="I57" s="3"/>
      <c r="J57" s="3"/>
      <c r="K57" s="3"/>
      <c r="L57" s="3"/>
    </row>
    <row r="58" spans="1:12" x14ac:dyDescent="0.25">
      <c r="A58" s="18">
        <f>1+A57:A57</f>
        <v>2070</v>
      </c>
      <c r="B58" s="6">
        <f t="shared" si="1"/>
        <v>52</v>
      </c>
      <c r="C58" s="84">
        <f>'Traffic Volumes'!E59*1.16+'Traffic Volumes'!F59*1.51+'Traffic Volumes'!G59</f>
        <v>71497.840732275334</v>
      </c>
      <c r="D58" s="66">
        <f t="shared" ref="D58" si="4">(C58/56)-(C58/63)</f>
        <v>141.86079510372087</v>
      </c>
      <c r="E58" s="8">
        <f>('Traffic Volumes'!E59/'Traffic Volumes'!C59)*('Value of Travel Time'!D58*'Value of Travel Time'!$L$12)*1.16</f>
        <v>894.47430392431068</v>
      </c>
      <c r="F58" s="8">
        <f>('Traffic Volumes'!F59/'Traffic Volumes'!C59)*('Value of Travel Time'!D58*1.51)*'Value of Travel Time'!$L$11</f>
        <v>3199.0091622592408</v>
      </c>
      <c r="G58" s="8">
        <f>'Traffic Volumes'!D59/'Traffic Volumes'!B59*'Value of Travel Time'!D58*'Value of Travel Time'!$L$13</f>
        <v>231.90267897195491</v>
      </c>
      <c r="H58" s="85">
        <f t="shared" ref="H58" si="5">SUM(E58:G58)</f>
        <v>4325.3861451555067</v>
      </c>
      <c r="I58" s="3"/>
      <c r="J58" s="3"/>
      <c r="K58" s="3"/>
      <c r="L58" s="3"/>
    </row>
    <row r="59" spans="1:12" x14ac:dyDescent="0.25">
      <c r="A59" s="18">
        <f>1+A58:A58</f>
        <v>2071</v>
      </c>
      <c r="B59" s="6">
        <f t="shared" si="1"/>
        <v>53</v>
      </c>
      <c r="C59" s="84">
        <f>'Traffic Volumes'!E60*1.16+'Traffic Volumes'!F60*1.51+'Traffic Volumes'!G60</f>
        <v>71756.326789170751</v>
      </c>
      <c r="D59" s="66">
        <f t="shared" ref="D59" si="6">(C59/56)-(C59/63)</f>
        <v>142.37366426422773</v>
      </c>
      <c r="E59" s="8">
        <f>('Traffic Volumes'!E60/'Traffic Volumes'!C60)*('Value of Travel Time'!D59*'Value of Travel Time'!$L$12)*1.16</f>
        <v>897.708095790578</v>
      </c>
      <c r="F59" s="8">
        <f>('Traffic Volumes'!F60/'Traffic Volumes'!C60)*('Value of Travel Time'!D59*1.51)*'Value of Travel Time'!$L$11</f>
        <v>3210.5745362041853</v>
      </c>
      <c r="G59" s="8">
        <f>'Traffic Volumes'!D60/'Traffic Volumes'!B60*'Value of Travel Time'!D59*'Value of Travel Time'!$L$13</f>
        <v>232.74107644601827</v>
      </c>
      <c r="H59" s="85">
        <f t="shared" ref="H59" si="7">SUM(E59:G59)</f>
        <v>4341.0237084407818</v>
      </c>
      <c r="I59" s="3"/>
      <c r="J59" s="3"/>
      <c r="K59" s="3"/>
      <c r="L59" s="3"/>
    </row>
    <row r="60" spans="1:12" x14ac:dyDescent="0.25">
      <c r="A60" s="18">
        <f>1+A59:A59</f>
        <v>2072</v>
      </c>
      <c r="B60" s="6">
        <f t="shared" si="1"/>
        <v>54</v>
      </c>
      <c r="C60" s="84">
        <f>'Traffic Volumes'!E61*1.16+'Traffic Volumes'!F61*1.51+'Traffic Volumes'!G61</f>
        <v>72014.812846066139</v>
      </c>
      <c r="D60" s="66">
        <f t="shared" ref="D60" si="8">(C60/56)-(C60/63)</f>
        <v>142.88653342473435</v>
      </c>
      <c r="E60" s="8">
        <f>('Traffic Volumes'!E61/'Traffic Volumes'!C61)*('Value of Travel Time'!D60*'Value of Travel Time'!$L$12)*1.16</f>
        <v>900.94188765684362</v>
      </c>
      <c r="F60" s="8">
        <f>('Traffic Volumes'!F61/'Traffic Volumes'!C61)*('Value of Travel Time'!D60*1.51)*'Value of Travel Time'!$L$11</f>
        <v>3222.1399101491243</v>
      </c>
      <c r="G60" s="8">
        <f>'Traffic Volumes'!D61/'Traffic Volumes'!B61*'Value of Travel Time'!D60*'Value of Travel Time'!$L$13</f>
        <v>233.57947392008177</v>
      </c>
      <c r="H60" s="85">
        <f t="shared" ref="H60" si="9">SUM(E60:G60)</f>
        <v>4356.6612717260496</v>
      </c>
      <c r="I60" s="3"/>
      <c r="J60" s="3"/>
      <c r="K60" s="3"/>
      <c r="L60" s="3"/>
    </row>
    <row r="61" spans="1:12" ht="15.75" thickBot="1" x14ac:dyDescent="0.3">
      <c r="A61" s="20">
        <f>1+A60:A60</f>
        <v>2073</v>
      </c>
      <c r="B61" s="23">
        <f t="shared" si="1"/>
        <v>55</v>
      </c>
      <c r="C61" s="86">
        <f>'Traffic Volumes'!E62*1.16+'Traffic Volumes'!F62*1.51+'Traffic Volumes'!G62</f>
        <v>72273.298902961542</v>
      </c>
      <c r="D61" s="67">
        <f t="shared" ref="D61" si="10">(C61/56)-(C61/63)</f>
        <v>143.39940258524121</v>
      </c>
      <c r="E61" s="87">
        <f>('Traffic Volumes'!E62/'Traffic Volumes'!C62)*('Value of Travel Time'!D61*'Value of Travel Time'!$L$12)*1.16</f>
        <v>904.17567952311083</v>
      </c>
      <c r="F61" s="87">
        <f>('Traffic Volumes'!F62/'Traffic Volumes'!C62)*('Value of Travel Time'!D61*1.51)*'Value of Travel Time'!$L$11</f>
        <v>3233.7052840940687</v>
      </c>
      <c r="G61" s="87">
        <f>'Traffic Volumes'!D62/'Traffic Volumes'!B62*'Value of Travel Time'!D61*'Value of Travel Time'!$L$13</f>
        <v>234.41787139414566</v>
      </c>
      <c r="H61" s="88">
        <f t="shared" ref="H61" si="11">SUM(E61:G61)</f>
        <v>4372.2988350113246</v>
      </c>
      <c r="I61" s="3"/>
      <c r="J61" s="3"/>
      <c r="K61" s="3"/>
      <c r="L61" s="3"/>
    </row>
    <row r="62" spans="1:12" ht="15.75" thickBot="1" x14ac:dyDescent="0.3">
      <c r="C62" s="209" t="s">
        <v>3</v>
      </c>
      <c r="D62" s="210">
        <f>SUM(D7:D61)</f>
        <v>6893.434633839488</v>
      </c>
      <c r="E62" s="118"/>
      <c r="F62" s="118"/>
      <c r="G62" s="118"/>
      <c r="H62" s="68">
        <f>SUM(H7:H61)</f>
        <v>210183.27604849555</v>
      </c>
      <c r="I62" s="4"/>
      <c r="J62" s="4"/>
      <c r="K62" s="4"/>
      <c r="L62" s="3"/>
    </row>
    <row r="65" spans="1:7" x14ac:dyDescent="0.25">
      <c r="A65" s="89" t="s">
        <v>2</v>
      </c>
    </row>
    <row r="66" spans="1:7" ht="27.75" customHeight="1" x14ac:dyDescent="0.25">
      <c r="A66" s="267" t="s">
        <v>117</v>
      </c>
      <c r="B66" s="268"/>
      <c r="C66" s="268"/>
      <c r="D66" s="268"/>
      <c r="E66" s="268"/>
      <c r="F66" s="268"/>
      <c r="G66" s="268"/>
    </row>
    <row r="67" spans="1:7" x14ac:dyDescent="0.25">
      <c r="A67" s="89" t="s">
        <v>5</v>
      </c>
    </row>
    <row r="71" spans="1:7" ht="44.25" customHeight="1" x14ac:dyDescent="0.25"/>
    <row r="76" spans="1:7" ht="50.25" customHeight="1" x14ac:dyDescent="0.25"/>
  </sheetData>
  <mergeCells count="4">
    <mergeCell ref="J8:L9"/>
    <mergeCell ref="A66:G66"/>
    <mergeCell ref="J15:K15"/>
    <mergeCell ref="J19:L21"/>
  </mergeCells>
  <pageMargins left="0.24" right="0.7" top="0.75" bottom="0.75" header="0.3" footer="0.3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87"/>
  <sheetViews>
    <sheetView workbookViewId="0">
      <selection activeCell="F15" sqref="F15"/>
    </sheetView>
  </sheetViews>
  <sheetFormatPr defaultRowHeight="15" x14ac:dyDescent="0.25"/>
  <cols>
    <col min="2" max="2" width="15.85546875" customWidth="1"/>
    <col min="3" max="3" width="18.28515625" customWidth="1"/>
    <col min="4" max="4" width="25.42578125" customWidth="1"/>
    <col min="5" max="5" width="19.85546875" customWidth="1"/>
    <col min="6" max="6" width="16.42578125" customWidth="1"/>
    <col min="7" max="7" width="9" customWidth="1"/>
    <col min="8" max="8" width="14.7109375" style="64" customWidth="1"/>
    <col min="9" max="9" width="7.85546875" customWidth="1"/>
    <col min="10" max="10" width="16" style="64" customWidth="1"/>
    <col min="13" max="13" width="29.85546875" customWidth="1"/>
    <col min="14" max="14" width="27.28515625" customWidth="1"/>
    <col min="15" max="15" width="28" customWidth="1"/>
  </cols>
  <sheetData>
    <row r="1" spans="2:15" ht="45.75" thickBot="1" x14ac:dyDescent="0.3">
      <c r="B1" s="55" t="s">
        <v>0</v>
      </c>
      <c r="C1" s="56" t="s">
        <v>111</v>
      </c>
      <c r="D1" s="56" t="s">
        <v>110</v>
      </c>
      <c r="E1" s="56" t="s">
        <v>112</v>
      </c>
      <c r="F1" s="56" t="s">
        <v>68</v>
      </c>
      <c r="G1" s="56" t="s">
        <v>66</v>
      </c>
      <c r="H1" s="236" t="s">
        <v>69</v>
      </c>
      <c r="I1" s="56" t="s">
        <v>67</v>
      </c>
      <c r="J1" s="237" t="s">
        <v>70</v>
      </c>
    </row>
    <row r="2" spans="2:15" ht="16.5" thickBot="1" x14ac:dyDescent="0.3">
      <c r="B2" s="24">
        <v>2016</v>
      </c>
      <c r="C2" s="25"/>
      <c r="D2" s="233"/>
      <c r="E2" s="212"/>
      <c r="F2" s="25"/>
      <c r="G2" s="25"/>
      <c r="H2" s="234"/>
      <c r="I2" s="25"/>
      <c r="J2" s="235"/>
      <c r="M2" s="269" t="s">
        <v>95</v>
      </c>
      <c r="N2" s="270"/>
      <c r="O2" s="271"/>
    </row>
    <row r="3" spans="2:15" x14ac:dyDescent="0.25">
      <c r="B3" s="18">
        <f t="shared" ref="B3:B54" si="0">1+B2:B2</f>
        <v>2017</v>
      </c>
      <c r="C3" s="9"/>
      <c r="D3" s="102"/>
      <c r="E3" s="213"/>
      <c r="F3" s="9"/>
      <c r="G3" s="9"/>
      <c r="H3" s="107"/>
      <c r="I3" s="9"/>
      <c r="J3" s="108"/>
      <c r="M3" s="276" t="s">
        <v>96</v>
      </c>
      <c r="N3" s="272" t="s">
        <v>99</v>
      </c>
      <c r="O3" s="272" t="s">
        <v>100</v>
      </c>
    </row>
    <row r="4" spans="2:15" x14ac:dyDescent="0.25">
      <c r="B4" s="18">
        <f t="shared" si="0"/>
        <v>2018</v>
      </c>
      <c r="C4" s="9"/>
      <c r="D4" s="102"/>
      <c r="E4" s="213"/>
      <c r="F4" s="9"/>
      <c r="G4" s="9"/>
      <c r="H4" s="107"/>
      <c r="I4" s="9"/>
      <c r="J4" s="108"/>
      <c r="M4" s="274"/>
      <c r="N4" s="273"/>
      <c r="O4" s="273"/>
    </row>
    <row r="5" spans="2:15" x14ac:dyDescent="0.25">
      <c r="B5" s="18">
        <f t="shared" si="0"/>
        <v>2019</v>
      </c>
      <c r="C5" s="104">
        <f>O12*0.15</f>
        <v>2947500</v>
      </c>
      <c r="D5" s="103" t="s">
        <v>86</v>
      </c>
      <c r="E5" s="214">
        <v>15000</v>
      </c>
      <c r="F5" s="215">
        <f>SUM(C5:E5)</f>
        <v>2962500</v>
      </c>
      <c r="G5" s="109">
        <f>1/(1+0.07)^(B5-$B$2)</f>
        <v>0.81629787689085187</v>
      </c>
      <c r="H5" s="98">
        <f>G5*F5</f>
        <v>2418282.4602891486</v>
      </c>
      <c r="I5" s="109">
        <f>1/(1+0.03)^(B5-$B$2)</f>
        <v>0.91514165935315961</v>
      </c>
      <c r="J5" s="110">
        <f>I5*F5</f>
        <v>2711107.1658337354</v>
      </c>
      <c r="M5" s="95" t="s">
        <v>90</v>
      </c>
      <c r="N5" s="96">
        <v>900000</v>
      </c>
      <c r="O5" s="96">
        <f>N5*GDP!B7</f>
        <v>900000</v>
      </c>
    </row>
    <row r="6" spans="2:15" x14ac:dyDescent="0.25">
      <c r="B6" s="18">
        <f t="shared" si="0"/>
        <v>2020</v>
      </c>
      <c r="C6" s="104">
        <f>O12*0.25</f>
        <v>4912500</v>
      </c>
      <c r="D6" s="103" t="s">
        <v>86</v>
      </c>
      <c r="E6" s="214">
        <v>15000</v>
      </c>
      <c r="F6" s="215">
        <f t="shared" ref="F6:F59" si="1">SUM(C6:E6)</f>
        <v>4927500</v>
      </c>
      <c r="G6" s="109">
        <f t="shared" ref="G6:G59" si="2">1/(1+0.07)^(B6-$B$2)</f>
        <v>0.7628952120475252</v>
      </c>
      <c r="H6" s="98">
        <f t="shared" ref="H6:H59" si="3">G6*F6</f>
        <v>3759166.1573641803</v>
      </c>
      <c r="I6" s="109">
        <f t="shared" ref="I6:I59" si="4">1/(1+0.03)^(B6-$B$2)</f>
        <v>0.888487047915689</v>
      </c>
      <c r="J6" s="110">
        <f t="shared" ref="J6:J59" si="5">I6*F6</f>
        <v>4378019.9286045572</v>
      </c>
      <c r="M6" s="95" t="s">
        <v>91</v>
      </c>
      <c r="N6" s="96">
        <v>1200000</v>
      </c>
      <c r="O6" s="96">
        <f>N6*GDP!B7</f>
        <v>1200000</v>
      </c>
    </row>
    <row r="7" spans="2:15" x14ac:dyDescent="0.25">
      <c r="B7" s="18">
        <f t="shared" si="0"/>
        <v>2021</v>
      </c>
      <c r="C7" s="104">
        <f>O12*0.25</f>
        <v>4912500</v>
      </c>
      <c r="D7" s="104">
        <v>0</v>
      </c>
      <c r="E7" s="214">
        <v>15000</v>
      </c>
      <c r="F7" s="215">
        <f t="shared" si="1"/>
        <v>4927500</v>
      </c>
      <c r="G7" s="109">
        <f t="shared" si="2"/>
        <v>0.71298617948366838</v>
      </c>
      <c r="H7" s="98">
        <f t="shared" si="3"/>
        <v>3513239.3994057761</v>
      </c>
      <c r="I7" s="109">
        <f t="shared" si="4"/>
        <v>0.86260878438416411</v>
      </c>
      <c r="J7" s="110">
        <f t="shared" si="5"/>
        <v>4250504.7850529682</v>
      </c>
      <c r="M7" s="95" t="s">
        <v>92</v>
      </c>
      <c r="N7" s="96">
        <v>4000000</v>
      </c>
      <c r="O7" s="96">
        <f>N7*GDP!B7</f>
        <v>4000000</v>
      </c>
    </row>
    <row r="8" spans="2:15" x14ac:dyDescent="0.25">
      <c r="B8" s="18">
        <f t="shared" si="0"/>
        <v>2022</v>
      </c>
      <c r="C8" s="104">
        <f>O12*0.25</f>
        <v>4912500</v>
      </c>
      <c r="D8" s="104">
        <v>0</v>
      </c>
      <c r="E8" s="214">
        <v>15000</v>
      </c>
      <c r="F8" s="215">
        <f t="shared" si="1"/>
        <v>4927500</v>
      </c>
      <c r="G8" s="109">
        <f t="shared" si="2"/>
        <v>0.66634222381651254</v>
      </c>
      <c r="H8" s="98">
        <f t="shared" si="3"/>
        <v>3283401.3078558655</v>
      </c>
      <c r="I8" s="109">
        <f t="shared" si="4"/>
        <v>0.83748425668365445</v>
      </c>
      <c r="J8" s="110">
        <f t="shared" si="5"/>
        <v>4126703.6748087071</v>
      </c>
      <c r="M8" s="95" t="s">
        <v>93</v>
      </c>
      <c r="N8" s="96">
        <v>6650000</v>
      </c>
      <c r="O8" s="96">
        <f>N8*GDP!B7</f>
        <v>6650000</v>
      </c>
    </row>
    <row r="9" spans="2:15" x14ac:dyDescent="0.25">
      <c r="B9" s="18">
        <f t="shared" si="0"/>
        <v>2023</v>
      </c>
      <c r="C9" s="104">
        <f>O12*0.1</f>
        <v>1965000</v>
      </c>
      <c r="D9" s="104">
        <v>0</v>
      </c>
      <c r="E9" s="214">
        <v>15000</v>
      </c>
      <c r="F9" s="215">
        <f t="shared" si="1"/>
        <v>1980000</v>
      </c>
      <c r="G9" s="109">
        <f t="shared" si="2"/>
        <v>0.62274974188459109</v>
      </c>
      <c r="H9" s="98">
        <f t="shared" si="3"/>
        <v>1233044.4889314903</v>
      </c>
      <c r="I9" s="109">
        <f t="shared" si="4"/>
        <v>0.81309151134335378</v>
      </c>
      <c r="J9" s="110">
        <f t="shared" si="5"/>
        <v>1609921.1924598406</v>
      </c>
      <c r="M9" s="95" t="s">
        <v>114</v>
      </c>
      <c r="N9" s="96">
        <v>400000</v>
      </c>
      <c r="O9" s="96">
        <f>N9*GDP!B7</f>
        <v>400000</v>
      </c>
    </row>
    <row r="10" spans="2:15" x14ac:dyDescent="0.25">
      <c r="B10" s="18">
        <f t="shared" si="0"/>
        <v>2024</v>
      </c>
      <c r="C10" s="8">
        <v>0</v>
      </c>
      <c r="D10" s="105">
        <f>60480*0.1</f>
        <v>6048</v>
      </c>
      <c r="E10" s="214">
        <v>15000</v>
      </c>
      <c r="F10" s="215">
        <f t="shared" si="1"/>
        <v>21048</v>
      </c>
      <c r="G10" s="109">
        <f t="shared" si="2"/>
        <v>0.5820091045650384</v>
      </c>
      <c r="H10" s="98">
        <f t="shared" si="3"/>
        <v>12250.127632884929</v>
      </c>
      <c r="I10" s="109">
        <f t="shared" si="4"/>
        <v>0.78940923431393573</v>
      </c>
      <c r="J10" s="110">
        <f t="shared" si="5"/>
        <v>16615.48556383972</v>
      </c>
      <c r="M10" s="274" t="s">
        <v>94</v>
      </c>
      <c r="N10" s="275">
        <v>6500000</v>
      </c>
      <c r="O10" s="96">
        <f>N10*GDP!B7</f>
        <v>6500000</v>
      </c>
    </row>
    <row r="11" spans="2:15" ht="15.75" thickBot="1" x14ac:dyDescent="0.3">
      <c r="B11" s="18">
        <f t="shared" si="0"/>
        <v>2025</v>
      </c>
      <c r="C11" s="8">
        <v>0</v>
      </c>
      <c r="D11" s="105">
        <f t="shared" ref="D11:D13" si="6">60480*0.1</f>
        <v>6048</v>
      </c>
      <c r="E11" s="214">
        <v>15000</v>
      </c>
      <c r="F11" s="215">
        <f t="shared" si="1"/>
        <v>21048</v>
      </c>
      <c r="G11" s="109">
        <f t="shared" si="2"/>
        <v>0.54393374258414806</v>
      </c>
      <c r="H11" s="98">
        <f t="shared" si="3"/>
        <v>11448.717413911148</v>
      </c>
      <c r="I11" s="109">
        <f t="shared" si="4"/>
        <v>0.76641673234362695</v>
      </c>
      <c r="J11" s="110">
        <f t="shared" si="5"/>
        <v>16131.539382368661</v>
      </c>
      <c r="M11" s="274"/>
      <c r="N11" s="275"/>
      <c r="O11" s="96">
        <f>N11*GDP!B7</f>
        <v>0</v>
      </c>
    </row>
    <row r="12" spans="2:15" ht="15.75" thickBot="1" x14ac:dyDescent="0.3">
      <c r="B12" s="18">
        <f t="shared" si="0"/>
        <v>2026</v>
      </c>
      <c r="C12" s="8">
        <v>0</v>
      </c>
      <c r="D12" s="105">
        <f t="shared" si="6"/>
        <v>6048</v>
      </c>
      <c r="E12" s="214">
        <v>15000</v>
      </c>
      <c r="F12" s="215">
        <f t="shared" si="1"/>
        <v>21048</v>
      </c>
      <c r="G12" s="109">
        <f t="shared" si="2"/>
        <v>0.5083492921347178</v>
      </c>
      <c r="H12" s="98">
        <f t="shared" si="3"/>
        <v>10699.73590085154</v>
      </c>
      <c r="I12" s="109">
        <f t="shared" si="4"/>
        <v>0.74409391489672516</v>
      </c>
      <c r="J12" s="110">
        <f t="shared" si="5"/>
        <v>15661.688720746271</v>
      </c>
      <c r="M12" s="46" t="s">
        <v>98</v>
      </c>
      <c r="N12" s="97">
        <f>SUM(N5:N11)</f>
        <v>19650000</v>
      </c>
      <c r="O12" s="97">
        <f>SUM(O5:O11)</f>
        <v>19650000</v>
      </c>
    </row>
    <row r="13" spans="2:15" x14ac:dyDescent="0.25">
      <c r="B13" s="18">
        <f t="shared" si="0"/>
        <v>2027</v>
      </c>
      <c r="C13" s="8">
        <v>0</v>
      </c>
      <c r="D13" s="105">
        <f t="shared" si="6"/>
        <v>6048</v>
      </c>
      <c r="E13" s="214">
        <v>15000</v>
      </c>
      <c r="F13" s="215">
        <f t="shared" si="1"/>
        <v>21048</v>
      </c>
      <c r="G13" s="109">
        <f t="shared" si="2"/>
        <v>0.47509279638758667</v>
      </c>
      <c r="H13" s="98">
        <f t="shared" si="3"/>
        <v>9999.7531783659233</v>
      </c>
      <c r="I13" s="109">
        <f t="shared" si="4"/>
        <v>0.72242127659876232</v>
      </c>
      <c r="J13" s="110">
        <f t="shared" si="5"/>
        <v>15205.523029850749</v>
      </c>
    </row>
    <row r="14" spans="2:15" x14ac:dyDescent="0.25">
      <c r="B14" s="18">
        <f t="shared" si="0"/>
        <v>2028</v>
      </c>
      <c r="C14" s="8">
        <v>0</v>
      </c>
      <c r="D14" s="105">
        <f>60480*(0.1+0.07)</f>
        <v>10281.6</v>
      </c>
      <c r="E14" s="214">
        <v>15000</v>
      </c>
      <c r="F14" s="215">
        <f t="shared" si="1"/>
        <v>25281.599999999999</v>
      </c>
      <c r="G14" s="109">
        <f t="shared" si="2"/>
        <v>0.44401195924073528</v>
      </c>
      <c r="H14" s="98">
        <f t="shared" si="3"/>
        <v>11225.332748740573</v>
      </c>
      <c r="I14" s="109">
        <f t="shared" si="4"/>
        <v>0.70137988019297326</v>
      </c>
      <c r="J14" s="110">
        <f t="shared" si="5"/>
        <v>17732.005579086672</v>
      </c>
      <c r="M14" s="267" t="s">
        <v>97</v>
      </c>
      <c r="N14" s="267"/>
    </row>
    <row r="15" spans="2:15" x14ac:dyDescent="0.25">
      <c r="B15" s="18">
        <f t="shared" si="0"/>
        <v>2029</v>
      </c>
      <c r="C15" s="8">
        <v>0</v>
      </c>
      <c r="D15" s="105">
        <f t="shared" ref="D15:D18" si="7">60480*0.1</f>
        <v>6048</v>
      </c>
      <c r="E15" s="214">
        <v>25000</v>
      </c>
      <c r="F15" s="215">
        <f t="shared" si="1"/>
        <v>31048</v>
      </c>
      <c r="G15" s="109">
        <f t="shared" si="2"/>
        <v>0.41496444788853759</v>
      </c>
      <c r="H15" s="98">
        <f t="shared" si="3"/>
        <v>12883.816178043315</v>
      </c>
      <c r="I15" s="109">
        <f t="shared" si="4"/>
        <v>0.68095133999317792</v>
      </c>
      <c r="J15" s="110">
        <f t="shared" si="5"/>
        <v>21142.177204108189</v>
      </c>
    </row>
    <row r="16" spans="2:15" ht="15" customHeight="1" x14ac:dyDescent="0.25">
      <c r="B16" s="18">
        <f t="shared" si="0"/>
        <v>2030</v>
      </c>
      <c r="C16" s="8">
        <v>0</v>
      </c>
      <c r="D16" s="105">
        <f t="shared" si="7"/>
        <v>6048</v>
      </c>
      <c r="E16" s="214">
        <v>15000</v>
      </c>
      <c r="F16" s="215">
        <f t="shared" si="1"/>
        <v>21048</v>
      </c>
      <c r="G16" s="109">
        <f t="shared" si="2"/>
        <v>0.3878172410173249</v>
      </c>
      <c r="H16" s="98">
        <f t="shared" si="3"/>
        <v>8162.7772889326543</v>
      </c>
      <c r="I16" s="109">
        <f t="shared" si="4"/>
        <v>0.66111780581861923</v>
      </c>
      <c r="J16" s="110">
        <f t="shared" si="5"/>
        <v>13915.207576870298</v>
      </c>
    </row>
    <row r="17" spans="2:10" x14ac:dyDescent="0.25">
      <c r="B17" s="18">
        <f t="shared" si="0"/>
        <v>2031</v>
      </c>
      <c r="C17" s="8">
        <v>0</v>
      </c>
      <c r="D17" s="105">
        <f t="shared" si="7"/>
        <v>6048</v>
      </c>
      <c r="E17" s="214">
        <v>15000</v>
      </c>
      <c r="F17" s="215">
        <f t="shared" si="1"/>
        <v>21048</v>
      </c>
      <c r="G17" s="109">
        <f t="shared" si="2"/>
        <v>0.36244601964235967</v>
      </c>
      <c r="H17" s="98">
        <f t="shared" si="3"/>
        <v>7628.7638214323861</v>
      </c>
      <c r="I17" s="109">
        <f t="shared" si="4"/>
        <v>0.64186194739671765</v>
      </c>
      <c r="J17" s="110">
        <f t="shared" si="5"/>
        <v>13509.910268806114</v>
      </c>
    </row>
    <row r="18" spans="2:10" x14ac:dyDescent="0.25">
      <c r="B18" s="18">
        <f t="shared" si="0"/>
        <v>2032</v>
      </c>
      <c r="C18" s="8">
        <v>0</v>
      </c>
      <c r="D18" s="105">
        <f t="shared" si="7"/>
        <v>6048</v>
      </c>
      <c r="E18" s="214">
        <v>15000</v>
      </c>
      <c r="F18" s="215">
        <f t="shared" si="1"/>
        <v>21048</v>
      </c>
      <c r="G18" s="109">
        <f t="shared" si="2"/>
        <v>0.33873459779659787</v>
      </c>
      <c r="H18" s="98">
        <f t="shared" si="3"/>
        <v>7129.6858144227917</v>
      </c>
      <c r="I18" s="109">
        <f t="shared" si="4"/>
        <v>0.62316693922011435</v>
      </c>
      <c r="J18" s="110">
        <f t="shared" si="5"/>
        <v>13116.417736704967</v>
      </c>
    </row>
    <row r="19" spans="2:10" x14ac:dyDescent="0.25">
      <c r="B19" s="18">
        <f t="shared" si="0"/>
        <v>2033</v>
      </c>
      <c r="C19" s="8">
        <v>0</v>
      </c>
      <c r="D19" s="105">
        <f>60480*(0.1+1.6)</f>
        <v>102816.00000000001</v>
      </c>
      <c r="E19" s="214">
        <v>15000</v>
      </c>
      <c r="F19" s="215">
        <f t="shared" si="1"/>
        <v>117816.00000000001</v>
      </c>
      <c r="G19" s="109">
        <f t="shared" si="2"/>
        <v>0.31657439046411018</v>
      </c>
      <c r="H19" s="98">
        <f t="shared" si="3"/>
        <v>37297.528386919606</v>
      </c>
      <c r="I19" s="109">
        <f t="shared" si="4"/>
        <v>0.60501644584477121</v>
      </c>
      <c r="J19" s="110">
        <f t="shared" si="5"/>
        <v>71280.617583647574</v>
      </c>
    </row>
    <row r="20" spans="2:10" x14ac:dyDescent="0.25">
      <c r="B20" s="18">
        <f t="shared" si="0"/>
        <v>2034</v>
      </c>
      <c r="C20" s="8">
        <v>0</v>
      </c>
      <c r="D20" s="105">
        <f t="shared" ref="D20:D23" si="8">60480*0.1</f>
        <v>6048</v>
      </c>
      <c r="E20" s="214">
        <v>15000</v>
      </c>
      <c r="F20" s="215">
        <f t="shared" si="1"/>
        <v>21048</v>
      </c>
      <c r="G20" s="109">
        <f t="shared" si="2"/>
        <v>0.29586391632159825</v>
      </c>
      <c r="H20" s="98">
        <f t="shared" si="3"/>
        <v>6227.343710737</v>
      </c>
      <c r="I20" s="109">
        <f t="shared" si="4"/>
        <v>0.5873946076162827</v>
      </c>
      <c r="J20" s="110">
        <f t="shared" si="5"/>
        <v>12363.481701107519</v>
      </c>
    </row>
    <row r="21" spans="2:10" x14ac:dyDescent="0.25">
      <c r="B21" s="18">
        <f t="shared" si="0"/>
        <v>2035</v>
      </c>
      <c r="C21" s="8">
        <v>0</v>
      </c>
      <c r="D21" s="105">
        <f t="shared" si="8"/>
        <v>6048</v>
      </c>
      <c r="E21" s="214">
        <v>15000</v>
      </c>
      <c r="F21" s="215">
        <f t="shared" si="1"/>
        <v>21048</v>
      </c>
      <c r="G21" s="109">
        <f t="shared" si="2"/>
        <v>0.27650833301083949</v>
      </c>
      <c r="H21" s="98">
        <f t="shared" si="3"/>
        <v>5819.94739321215</v>
      </c>
      <c r="I21" s="109">
        <f t="shared" si="4"/>
        <v>0.57028602681192497</v>
      </c>
      <c r="J21" s="110">
        <f t="shared" si="5"/>
        <v>12003.380292337397</v>
      </c>
    </row>
    <row r="22" spans="2:10" x14ac:dyDescent="0.25">
      <c r="B22" s="18">
        <f t="shared" si="0"/>
        <v>2036</v>
      </c>
      <c r="C22" s="8">
        <v>0</v>
      </c>
      <c r="D22" s="105">
        <f t="shared" si="8"/>
        <v>6048</v>
      </c>
      <c r="E22" s="214">
        <v>15000</v>
      </c>
      <c r="F22" s="215">
        <f t="shared" si="1"/>
        <v>21048</v>
      </c>
      <c r="G22" s="109">
        <f t="shared" si="2"/>
        <v>0.2584190028138687</v>
      </c>
      <c r="H22" s="98">
        <f t="shared" si="3"/>
        <v>5439.2031712263088</v>
      </c>
      <c r="I22" s="109">
        <f t="shared" si="4"/>
        <v>0.55367575418633497</v>
      </c>
      <c r="J22" s="110">
        <f t="shared" si="5"/>
        <v>11653.767274113978</v>
      </c>
    </row>
    <row r="23" spans="2:10" x14ac:dyDescent="0.25">
      <c r="B23" s="18">
        <f t="shared" si="0"/>
        <v>2037</v>
      </c>
      <c r="C23" s="8">
        <v>0</v>
      </c>
      <c r="D23" s="105">
        <f t="shared" si="8"/>
        <v>6048</v>
      </c>
      <c r="E23" s="214">
        <v>15000</v>
      </c>
      <c r="F23" s="215">
        <f t="shared" si="1"/>
        <v>21048</v>
      </c>
      <c r="G23" s="109">
        <f t="shared" si="2"/>
        <v>0.24151308674193336</v>
      </c>
      <c r="H23" s="98">
        <f t="shared" si="3"/>
        <v>5083.3674497442134</v>
      </c>
      <c r="I23" s="109">
        <f t="shared" si="4"/>
        <v>0.5375492759090631</v>
      </c>
      <c r="J23" s="110">
        <f t="shared" si="5"/>
        <v>11314.33715933396</v>
      </c>
    </row>
    <row r="24" spans="2:10" x14ac:dyDescent="0.25">
      <c r="B24" s="18">
        <f t="shared" si="0"/>
        <v>2038</v>
      </c>
      <c r="C24" s="8">
        <v>0</v>
      </c>
      <c r="D24" s="105">
        <f>60480*(0.1+0.7)</f>
        <v>48383.999999999993</v>
      </c>
      <c r="E24" s="214">
        <v>15000</v>
      </c>
      <c r="F24" s="215">
        <f t="shared" si="1"/>
        <v>63383.999999999993</v>
      </c>
      <c r="G24" s="109">
        <f t="shared" si="2"/>
        <v>0.22571316517937698</v>
      </c>
      <c r="H24" s="98">
        <f t="shared" si="3"/>
        <v>14306.60326172963</v>
      </c>
      <c r="I24" s="109">
        <f t="shared" si="4"/>
        <v>0.52189250088258554</v>
      </c>
      <c r="J24" s="110">
        <f t="shared" si="5"/>
        <v>33079.634275941797</v>
      </c>
    </row>
    <row r="25" spans="2:10" x14ac:dyDescent="0.25">
      <c r="B25" s="18">
        <f t="shared" si="0"/>
        <v>2039</v>
      </c>
      <c r="C25" s="8">
        <v>0</v>
      </c>
      <c r="D25" s="105">
        <f t="shared" ref="D25:D28" si="9">60480*0.1</f>
        <v>6048</v>
      </c>
      <c r="E25" s="214">
        <v>25000</v>
      </c>
      <c r="F25" s="215">
        <f t="shared" si="1"/>
        <v>31048</v>
      </c>
      <c r="G25" s="109">
        <f t="shared" si="2"/>
        <v>0.21094688334521211</v>
      </c>
      <c r="H25" s="98">
        <f t="shared" si="3"/>
        <v>6549.4788341021458</v>
      </c>
      <c r="I25" s="109">
        <f t="shared" si="4"/>
        <v>0.50669174842969467</v>
      </c>
      <c r="J25" s="110">
        <f t="shared" si="5"/>
        <v>15731.76540524516</v>
      </c>
    </row>
    <row r="26" spans="2:10" x14ac:dyDescent="0.25">
      <c r="B26" s="18">
        <f t="shared" si="0"/>
        <v>2040</v>
      </c>
      <c r="C26" s="8">
        <v>0</v>
      </c>
      <c r="D26" s="105">
        <f t="shared" si="9"/>
        <v>6048</v>
      </c>
      <c r="E26" s="214">
        <v>15000</v>
      </c>
      <c r="F26" s="215">
        <f t="shared" si="1"/>
        <v>21048</v>
      </c>
      <c r="G26" s="109">
        <f t="shared" si="2"/>
        <v>0.19714661994879637</v>
      </c>
      <c r="H26" s="98">
        <f t="shared" si="3"/>
        <v>4149.5420566822659</v>
      </c>
      <c r="I26" s="109">
        <f t="shared" si="4"/>
        <v>0.49193373633950943</v>
      </c>
      <c r="J26" s="110">
        <f t="shared" si="5"/>
        <v>10354.221282473995</v>
      </c>
    </row>
    <row r="27" spans="2:10" x14ac:dyDescent="0.25">
      <c r="B27" s="18">
        <f t="shared" si="0"/>
        <v>2041</v>
      </c>
      <c r="C27" s="8">
        <v>0</v>
      </c>
      <c r="D27" s="105">
        <f t="shared" si="9"/>
        <v>6048</v>
      </c>
      <c r="E27" s="214">
        <v>15000</v>
      </c>
      <c r="F27" s="215">
        <f t="shared" si="1"/>
        <v>21048</v>
      </c>
      <c r="G27" s="109">
        <f t="shared" si="2"/>
        <v>0.18424917752223957</v>
      </c>
      <c r="H27" s="98">
        <f t="shared" si="3"/>
        <v>3878.0766884880986</v>
      </c>
      <c r="I27" s="109">
        <f t="shared" si="4"/>
        <v>0.47760556926165965</v>
      </c>
      <c r="J27" s="110">
        <f t="shared" si="5"/>
        <v>10052.642021819413</v>
      </c>
    </row>
    <row r="28" spans="2:10" x14ac:dyDescent="0.25">
      <c r="B28" s="18">
        <f t="shared" si="0"/>
        <v>2042</v>
      </c>
      <c r="C28" s="8">
        <v>0</v>
      </c>
      <c r="D28" s="105">
        <f t="shared" si="9"/>
        <v>6048</v>
      </c>
      <c r="E28" s="214">
        <v>15000</v>
      </c>
      <c r="F28" s="215">
        <f t="shared" si="1"/>
        <v>21048</v>
      </c>
      <c r="G28" s="109">
        <f t="shared" si="2"/>
        <v>0.17219549301143888</v>
      </c>
      <c r="H28" s="98">
        <f t="shared" si="3"/>
        <v>3624.3707369047656</v>
      </c>
      <c r="I28" s="109">
        <f t="shared" si="4"/>
        <v>0.46369472743850448</v>
      </c>
      <c r="J28" s="110">
        <f t="shared" si="5"/>
        <v>9759.8466231256425</v>
      </c>
    </row>
    <row r="29" spans="2:10" x14ac:dyDescent="0.25">
      <c r="B29" s="18">
        <f t="shared" si="0"/>
        <v>2043</v>
      </c>
      <c r="C29" s="8">
        <v>0</v>
      </c>
      <c r="D29" s="105">
        <f>60480*(0.1+50)+2050000</f>
        <v>5080048</v>
      </c>
      <c r="E29" s="214">
        <v>15000</v>
      </c>
      <c r="F29" s="215">
        <f t="shared" si="1"/>
        <v>5095048</v>
      </c>
      <c r="G29" s="109">
        <f t="shared" si="2"/>
        <v>0.16093036730041013</v>
      </c>
      <c r="H29" s="98">
        <f t="shared" si="3"/>
        <v>819947.94605322008</v>
      </c>
      <c r="I29" s="109">
        <f t="shared" si="4"/>
        <v>0.45018905576553836</v>
      </c>
      <c r="J29" s="110">
        <f t="shared" si="5"/>
        <v>2293734.8482000949</v>
      </c>
    </row>
    <row r="30" spans="2:10" x14ac:dyDescent="0.25">
      <c r="B30" s="18">
        <f t="shared" si="0"/>
        <v>2044</v>
      </c>
      <c r="C30" s="8">
        <v>0</v>
      </c>
      <c r="D30" s="105">
        <f t="shared" ref="D30:D33" si="10">60480*0.1</f>
        <v>6048</v>
      </c>
      <c r="E30" s="214">
        <v>15000</v>
      </c>
      <c r="F30" s="215">
        <f t="shared" si="1"/>
        <v>21048</v>
      </c>
      <c r="G30" s="109">
        <f t="shared" si="2"/>
        <v>0.15040221243028987</v>
      </c>
      <c r="H30" s="98">
        <f t="shared" si="3"/>
        <v>3165.665767232741</v>
      </c>
      <c r="I30" s="109">
        <f t="shared" si="4"/>
        <v>0.4370767531704256</v>
      </c>
      <c r="J30" s="110">
        <f t="shared" si="5"/>
        <v>9199.5915007311178</v>
      </c>
    </row>
    <row r="31" spans="2:10" x14ac:dyDescent="0.25">
      <c r="B31" s="18">
        <f t="shared" si="0"/>
        <v>2045</v>
      </c>
      <c r="C31" s="8">
        <v>0</v>
      </c>
      <c r="D31" s="105">
        <f t="shared" si="10"/>
        <v>6048</v>
      </c>
      <c r="E31" s="214">
        <v>15000</v>
      </c>
      <c r="F31" s="215">
        <f t="shared" si="1"/>
        <v>21048</v>
      </c>
      <c r="G31" s="109">
        <f t="shared" si="2"/>
        <v>0.1405628153554111</v>
      </c>
      <c r="H31" s="98">
        <f t="shared" si="3"/>
        <v>2958.5661376006929</v>
      </c>
      <c r="I31" s="109">
        <f t="shared" si="4"/>
        <v>0.42434636230138412</v>
      </c>
      <c r="J31" s="110">
        <f t="shared" si="5"/>
        <v>8931.6422337195327</v>
      </c>
    </row>
    <row r="32" spans="2:10" x14ac:dyDescent="0.25">
      <c r="B32" s="18">
        <f t="shared" si="0"/>
        <v>2046</v>
      </c>
      <c r="C32" s="8">
        <v>0</v>
      </c>
      <c r="D32" s="105">
        <f t="shared" si="10"/>
        <v>6048</v>
      </c>
      <c r="E32" s="214">
        <v>15000</v>
      </c>
      <c r="F32" s="215">
        <f t="shared" si="1"/>
        <v>21048</v>
      </c>
      <c r="G32" s="109">
        <f t="shared" si="2"/>
        <v>0.13136711715458982</v>
      </c>
      <c r="H32" s="98">
        <f t="shared" si="3"/>
        <v>2765.0150818698066</v>
      </c>
      <c r="I32" s="109">
        <f t="shared" si="4"/>
        <v>0.41198675951590691</v>
      </c>
      <c r="J32" s="110">
        <f t="shared" si="5"/>
        <v>8671.4973142908093</v>
      </c>
    </row>
    <row r="33" spans="2:10" x14ac:dyDescent="0.25">
      <c r="B33" s="18">
        <f t="shared" si="0"/>
        <v>2047</v>
      </c>
      <c r="C33" s="8">
        <v>0</v>
      </c>
      <c r="D33" s="105">
        <f t="shared" si="10"/>
        <v>6048</v>
      </c>
      <c r="E33" s="214">
        <v>15000</v>
      </c>
      <c r="F33" s="215">
        <f t="shared" si="1"/>
        <v>21048</v>
      </c>
      <c r="G33" s="109">
        <f t="shared" si="2"/>
        <v>0.1227730066865325</v>
      </c>
      <c r="H33" s="98">
        <f t="shared" si="3"/>
        <v>2584.1262447381359</v>
      </c>
      <c r="I33" s="109">
        <f t="shared" si="4"/>
        <v>0.39998714516107459</v>
      </c>
      <c r="J33" s="110">
        <f t="shared" si="5"/>
        <v>8418.9294313502978</v>
      </c>
    </row>
    <row r="34" spans="2:10" x14ac:dyDescent="0.25">
      <c r="B34" s="18">
        <f t="shared" si="0"/>
        <v>2048</v>
      </c>
      <c r="C34" s="8">
        <v>0</v>
      </c>
      <c r="D34" s="105">
        <f>60480*(0.1+0.07)</f>
        <v>10281.6</v>
      </c>
      <c r="E34" s="214">
        <v>15000</v>
      </c>
      <c r="F34" s="215">
        <f t="shared" si="1"/>
        <v>25281.599999999999</v>
      </c>
      <c r="G34" s="109">
        <f t="shared" si="2"/>
        <v>0.11474112774442291</v>
      </c>
      <c r="H34" s="98">
        <f t="shared" si="3"/>
        <v>2900.8392951834021</v>
      </c>
      <c r="I34" s="109">
        <f t="shared" si="4"/>
        <v>0.38833703413696569</v>
      </c>
      <c r="J34" s="110">
        <f t="shared" si="5"/>
        <v>9817.7815622371108</v>
      </c>
    </row>
    <row r="35" spans="2:10" x14ac:dyDescent="0.25">
      <c r="B35" s="18">
        <f t="shared" si="0"/>
        <v>2049</v>
      </c>
      <c r="C35" s="8">
        <v>0</v>
      </c>
      <c r="D35" s="105">
        <f t="shared" ref="D35:D38" si="11">60480*0.1</f>
        <v>6048</v>
      </c>
      <c r="E35" s="214">
        <v>25000</v>
      </c>
      <c r="F35" s="215">
        <f t="shared" si="1"/>
        <v>31048</v>
      </c>
      <c r="G35" s="109">
        <f t="shared" si="2"/>
        <v>0.10723469882656347</v>
      </c>
      <c r="H35" s="98">
        <f t="shared" si="3"/>
        <v>3329.4229291671427</v>
      </c>
      <c r="I35" s="109">
        <f t="shared" si="4"/>
        <v>0.37702624673491814</v>
      </c>
      <c r="J35" s="110">
        <f t="shared" si="5"/>
        <v>11705.910908625738</v>
      </c>
    </row>
    <row r="36" spans="2:10" x14ac:dyDescent="0.25">
      <c r="B36" s="18">
        <f t="shared" si="0"/>
        <v>2050</v>
      </c>
      <c r="C36" s="8">
        <v>0</v>
      </c>
      <c r="D36" s="105">
        <f t="shared" si="11"/>
        <v>6048</v>
      </c>
      <c r="E36" s="214">
        <v>15000</v>
      </c>
      <c r="F36" s="215">
        <f t="shared" si="1"/>
        <v>21048</v>
      </c>
      <c r="G36" s="109">
        <f t="shared" si="2"/>
        <v>0.10021934469772288</v>
      </c>
      <c r="H36" s="98">
        <f t="shared" si="3"/>
        <v>2109.4167671976711</v>
      </c>
      <c r="I36" s="109">
        <f t="shared" si="4"/>
        <v>0.36604489974263904</v>
      </c>
      <c r="J36" s="110">
        <f t="shared" si="5"/>
        <v>7704.5130497830669</v>
      </c>
    </row>
    <row r="37" spans="2:10" x14ac:dyDescent="0.25">
      <c r="B37" s="18">
        <f t="shared" si="0"/>
        <v>2051</v>
      </c>
      <c r="C37" s="8">
        <v>0</v>
      </c>
      <c r="D37" s="105">
        <f t="shared" si="11"/>
        <v>6048</v>
      </c>
      <c r="E37" s="214">
        <v>15000</v>
      </c>
      <c r="F37" s="215">
        <f t="shared" si="1"/>
        <v>21048</v>
      </c>
      <c r="G37" s="109">
        <f t="shared" si="2"/>
        <v>9.366293896983445E-2</v>
      </c>
      <c r="H37" s="98">
        <f t="shared" si="3"/>
        <v>1971.4175394370754</v>
      </c>
      <c r="I37" s="109">
        <f t="shared" si="4"/>
        <v>0.35538339780838735</v>
      </c>
      <c r="J37" s="110">
        <f t="shared" si="5"/>
        <v>7480.1097570709371</v>
      </c>
    </row>
    <row r="38" spans="2:10" x14ac:dyDescent="0.25">
      <c r="B38" s="18">
        <f t="shared" si="0"/>
        <v>2052</v>
      </c>
      <c r="C38" s="8">
        <v>0</v>
      </c>
      <c r="D38" s="105">
        <f t="shared" si="11"/>
        <v>6048</v>
      </c>
      <c r="E38" s="214">
        <v>15000</v>
      </c>
      <c r="F38" s="215">
        <f t="shared" si="1"/>
        <v>21048</v>
      </c>
      <c r="G38" s="109">
        <f t="shared" si="2"/>
        <v>8.7535456981153698E-2</v>
      </c>
      <c r="H38" s="98">
        <f t="shared" si="3"/>
        <v>1842.4462985393229</v>
      </c>
      <c r="I38" s="109">
        <f t="shared" si="4"/>
        <v>0.34503242505668674</v>
      </c>
      <c r="J38" s="110">
        <f t="shared" si="5"/>
        <v>7262.242482593143</v>
      </c>
    </row>
    <row r="39" spans="2:10" x14ac:dyDescent="0.25">
      <c r="B39" s="18">
        <f t="shared" si="0"/>
        <v>2053</v>
      </c>
      <c r="C39" s="8">
        <v>0</v>
      </c>
      <c r="D39" s="105">
        <f>60480*(0.1+1.6)</f>
        <v>102816.00000000001</v>
      </c>
      <c r="E39" s="214">
        <v>15000</v>
      </c>
      <c r="F39" s="215">
        <f t="shared" si="1"/>
        <v>117816.00000000001</v>
      </c>
      <c r="G39" s="109">
        <f t="shared" si="2"/>
        <v>8.1808838300143641E-2</v>
      </c>
      <c r="H39" s="98">
        <f t="shared" si="3"/>
        <v>9638.3900931697244</v>
      </c>
      <c r="I39" s="109">
        <f t="shared" si="4"/>
        <v>0.33498293694823961</v>
      </c>
      <c r="J39" s="110">
        <f t="shared" si="5"/>
        <v>39466.349699493803</v>
      </c>
    </row>
    <row r="40" spans="2:10" x14ac:dyDescent="0.25">
      <c r="B40" s="18">
        <f t="shared" si="0"/>
        <v>2054</v>
      </c>
      <c r="C40" s="8">
        <v>0</v>
      </c>
      <c r="D40" s="105">
        <f t="shared" ref="D40:D43" si="12">60480*0.1</f>
        <v>6048</v>
      </c>
      <c r="E40" s="214">
        <v>15000</v>
      </c>
      <c r="F40" s="215">
        <f t="shared" si="1"/>
        <v>21048</v>
      </c>
      <c r="G40" s="109">
        <f t="shared" si="2"/>
        <v>7.6456858224433308E-2</v>
      </c>
      <c r="H40" s="98">
        <f t="shared" si="3"/>
        <v>1609.2639519078723</v>
      </c>
      <c r="I40" s="109">
        <f t="shared" si="4"/>
        <v>0.3252261523769317</v>
      </c>
      <c r="J40" s="110">
        <f t="shared" si="5"/>
        <v>6845.3600552296584</v>
      </c>
    </row>
    <row r="41" spans="2:10" x14ac:dyDescent="0.25">
      <c r="B41" s="18">
        <f t="shared" si="0"/>
        <v>2055</v>
      </c>
      <c r="C41" s="8">
        <v>0</v>
      </c>
      <c r="D41" s="105">
        <f t="shared" si="12"/>
        <v>6048</v>
      </c>
      <c r="E41" s="214">
        <v>15000</v>
      </c>
      <c r="F41" s="215">
        <f t="shared" si="1"/>
        <v>21048</v>
      </c>
      <c r="G41" s="109">
        <f t="shared" si="2"/>
        <v>7.1455007686386268E-2</v>
      </c>
      <c r="H41" s="98">
        <f t="shared" si="3"/>
        <v>1503.9850017830581</v>
      </c>
      <c r="I41" s="109">
        <f t="shared" si="4"/>
        <v>0.31575354599702099</v>
      </c>
      <c r="J41" s="110">
        <f t="shared" si="5"/>
        <v>6645.9806361452975</v>
      </c>
    </row>
    <row r="42" spans="2:10" x14ac:dyDescent="0.25">
      <c r="B42" s="18">
        <f t="shared" si="0"/>
        <v>2056</v>
      </c>
      <c r="C42" s="8">
        <v>0</v>
      </c>
      <c r="D42" s="105">
        <f t="shared" si="12"/>
        <v>6048</v>
      </c>
      <c r="E42" s="214">
        <v>15000</v>
      </c>
      <c r="F42" s="215">
        <f t="shared" si="1"/>
        <v>21048</v>
      </c>
      <c r="G42" s="109">
        <f t="shared" si="2"/>
        <v>6.6780381015314264E-2</v>
      </c>
      <c r="H42" s="98">
        <f t="shared" si="3"/>
        <v>1405.5934596103345</v>
      </c>
      <c r="I42" s="109">
        <f t="shared" si="4"/>
        <v>0.30655684077380685</v>
      </c>
      <c r="J42" s="110">
        <f t="shared" si="5"/>
        <v>6452.4083846070862</v>
      </c>
    </row>
    <row r="43" spans="2:10" x14ac:dyDescent="0.25">
      <c r="B43" s="18">
        <f t="shared" si="0"/>
        <v>2057</v>
      </c>
      <c r="C43" s="8">
        <v>0</v>
      </c>
      <c r="D43" s="105">
        <f t="shared" si="12"/>
        <v>6048</v>
      </c>
      <c r="E43" s="214">
        <v>15000</v>
      </c>
      <c r="F43" s="215">
        <f t="shared" si="1"/>
        <v>21048</v>
      </c>
      <c r="G43" s="109">
        <f t="shared" si="2"/>
        <v>6.2411571042349782E-2</v>
      </c>
      <c r="H43" s="98">
        <f t="shared" si="3"/>
        <v>1313.6387472993781</v>
      </c>
      <c r="I43" s="109">
        <f t="shared" si="4"/>
        <v>0.29762800075126877</v>
      </c>
      <c r="J43" s="110">
        <f t="shared" si="5"/>
        <v>6264.4741598127048</v>
      </c>
    </row>
    <row r="44" spans="2:10" x14ac:dyDescent="0.25">
      <c r="B44" s="18">
        <f t="shared" si="0"/>
        <v>2058</v>
      </c>
      <c r="C44" s="8">
        <v>0</v>
      </c>
      <c r="D44" s="105">
        <f>60480*(0.1+0.07)</f>
        <v>10281.6</v>
      </c>
      <c r="E44" s="214">
        <v>15000</v>
      </c>
      <c r="F44" s="215">
        <f t="shared" si="1"/>
        <v>25281.599999999999</v>
      </c>
      <c r="G44" s="109">
        <f t="shared" si="2"/>
        <v>5.8328571067616623E-2</v>
      </c>
      <c r="H44" s="98">
        <f t="shared" si="3"/>
        <v>1474.6396023030563</v>
      </c>
      <c r="I44" s="109">
        <f t="shared" si="4"/>
        <v>0.28895922403035801</v>
      </c>
      <c r="J44" s="110">
        <f t="shared" si="5"/>
        <v>7305.3515182458987</v>
      </c>
    </row>
    <row r="45" spans="2:10" x14ac:dyDescent="0.25">
      <c r="B45" s="18">
        <f t="shared" si="0"/>
        <v>2059</v>
      </c>
      <c r="C45" s="8">
        <v>0</v>
      </c>
      <c r="D45" s="105">
        <f t="shared" ref="D45:D48" si="13">60480*0.1</f>
        <v>6048</v>
      </c>
      <c r="E45" s="214">
        <v>25000</v>
      </c>
      <c r="F45" s="215">
        <f t="shared" si="1"/>
        <v>31048</v>
      </c>
      <c r="G45" s="109">
        <f t="shared" si="2"/>
        <v>5.4512683240763193E-2</v>
      </c>
      <c r="H45" s="98">
        <f t="shared" si="3"/>
        <v>1692.5097892592157</v>
      </c>
      <c r="I45" s="109">
        <f t="shared" si="4"/>
        <v>0.28054293595180391</v>
      </c>
      <c r="J45" s="110">
        <f t="shared" si="5"/>
        <v>8710.2970754316084</v>
      </c>
    </row>
    <row r="46" spans="2:10" x14ac:dyDescent="0.25">
      <c r="B46" s="18">
        <f t="shared" si="0"/>
        <v>2060</v>
      </c>
      <c r="C46" s="8">
        <v>0</v>
      </c>
      <c r="D46" s="105">
        <f t="shared" si="13"/>
        <v>6048</v>
      </c>
      <c r="E46" s="214">
        <v>15000</v>
      </c>
      <c r="F46" s="215">
        <f t="shared" si="1"/>
        <v>21048</v>
      </c>
      <c r="G46" s="109">
        <f t="shared" si="2"/>
        <v>5.0946432935292711E-2</v>
      </c>
      <c r="H46" s="98">
        <f t="shared" si="3"/>
        <v>1072.320520422041</v>
      </c>
      <c r="I46" s="109">
        <f t="shared" si="4"/>
        <v>0.27237178247747956</v>
      </c>
      <c r="J46" s="110">
        <f t="shared" si="5"/>
        <v>5732.8812775859897</v>
      </c>
    </row>
    <row r="47" spans="2:10" x14ac:dyDescent="0.25">
      <c r="B47" s="18">
        <f t="shared" si="0"/>
        <v>2061</v>
      </c>
      <c r="C47" s="8">
        <v>0</v>
      </c>
      <c r="D47" s="105">
        <f t="shared" si="13"/>
        <v>6048</v>
      </c>
      <c r="E47" s="214">
        <v>15000</v>
      </c>
      <c r="F47" s="215">
        <f t="shared" si="1"/>
        <v>21048</v>
      </c>
      <c r="G47" s="109">
        <f t="shared" si="2"/>
        <v>4.761348872457262E-2</v>
      </c>
      <c r="H47" s="98">
        <f t="shared" si="3"/>
        <v>1002.1687106748045</v>
      </c>
      <c r="I47" s="109">
        <f t="shared" si="4"/>
        <v>0.26443862376454325</v>
      </c>
      <c r="J47" s="110">
        <f t="shared" si="5"/>
        <v>5565.9041529961059</v>
      </c>
    </row>
    <row r="48" spans="2:10" x14ac:dyDescent="0.25">
      <c r="B48" s="18">
        <f t="shared" si="0"/>
        <v>2062</v>
      </c>
      <c r="C48" s="8">
        <v>0</v>
      </c>
      <c r="D48" s="105">
        <f t="shared" si="13"/>
        <v>6048</v>
      </c>
      <c r="E48" s="214">
        <v>15000</v>
      </c>
      <c r="F48" s="215">
        <f t="shared" si="1"/>
        <v>21048</v>
      </c>
      <c r="G48" s="109">
        <f t="shared" si="2"/>
        <v>4.4498587593058525E-2</v>
      </c>
      <c r="H48" s="98">
        <f t="shared" si="3"/>
        <v>936.60627165869585</v>
      </c>
      <c r="I48" s="109">
        <f t="shared" si="4"/>
        <v>0.25673652792674101</v>
      </c>
      <c r="J48" s="110">
        <f t="shared" si="5"/>
        <v>5403.7904398020446</v>
      </c>
    </row>
    <row r="49" spans="2:10" x14ac:dyDescent="0.25">
      <c r="B49" s="18">
        <f t="shared" si="0"/>
        <v>2063</v>
      </c>
      <c r="C49" s="8">
        <v>0</v>
      </c>
      <c r="D49" s="105">
        <f>60480*(0.1+50)+2050000</f>
        <v>5080048</v>
      </c>
      <c r="E49" s="214">
        <v>15000</v>
      </c>
      <c r="F49" s="215">
        <f t="shared" si="1"/>
        <v>5095048</v>
      </c>
      <c r="G49" s="109">
        <f t="shared" si="2"/>
        <v>4.1587465040241613E-2</v>
      </c>
      <c r="H49" s="98">
        <f t="shared" si="3"/>
        <v>211890.13057835295</v>
      </c>
      <c r="I49" s="109">
        <f t="shared" si="4"/>
        <v>0.24925876497741845</v>
      </c>
      <c r="J49" s="110">
        <f t="shared" si="5"/>
        <v>1269985.371980666</v>
      </c>
    </row>
    <row r="50" spans="2:10" x14ac:dyDescent="0.25">
      <c r="B50" s="18">
        <f t="shared" si="0"/>
        <v>2064</v>
      </c>
      <c r="C50" s="8">
        <v>0</v>
      </c>
      <c r="D50" s="105">
        <f t="shared" ref="D50:D53" si="14">60480*0.1</f>
        <v>6048</v>
      </c>
      <c r="E50" s="214">
        <v>15000</v>
      </c>
      <c r="F50" s="215">
        <f t="shared" si="1"/>
        <v>21048</v>
      </c>
      <c r="G50" s="109">
        <f t="shared" si="2"/>
        <v>3.8866789757235155E-2</v>
      </c>
      <c r="H50" s="98">
        <f t="shared" si="3"/>
        <v>818.0681908102855</v>
      </c>
      <c r="I50" s="109">
        <f t="shared" si="4"/>
        <v>0.24199880094894996</v>
      </c>
      <c r="J50" s="110">
        <f t="shared" si="5"/>
        <v>5093.5907623734984</v>
      </c>
    </row>
    <row r="51" spans="2:10" x14ac:dyDescent="0.25">
      <c r="B51" s="18">
        <f t="shared" si="0"/>
        <v>2065</v>
      </c>
      <c r="C51" s="8">
        <v>0</v>
      </c>
      <c r="D51" s="105">
        <f t="shared" si="14"/>
        <v>6048</v>
      </c>
      <c r="E51" s="214">
        <v>15000</v>
      </c>
      <c r="F51" s="215">
        <f t="shared" si="1"/>
        <v>21048</v>
      </c>
      <c r="G51" s="109">
        <f t="shared" si="2"/>
        <v>3.6324102576855283E-2</v>
      </c>
      <c r="H51" s="98">
        <f t="shared" si="3"/>
        <v>764.54971103765001</v>
      </c>
      <c r="I51" s="109">
        <f t="shared" si="4"/>
        <v>0.2349502921834466</v>
      </c>
      <c r="J51" s="110">
        <f t="shared" si="5"/>
        <v>4945.233749877184</v>
      </c>
    </row>
    <row r="52" spans="2:10" x14ac:dyDescent="0.25">
      <c r="B52" s="18">
        <f t="shared" si="0"/>
        <v>2066</v>
      </c>
      <c r="C52" s="8">
        <v>0</v>
      </c>
      <c r="D52" s="105">
        <f t="shared" si="14"/>
        <v>6048</v>
      </c>
      <c r="E52" s="214">
        <v>15000</v>
      </c>
      <c r="F52" s="215">
        <f t="shared" si="1"/>
        <v>21048</v>
      </c>
      <c r="G52" s="109">
        <f t="shared" si="2"/>
        <v>3.3947759417621758E-2</v>
      </c>
      <c r="H52" s="98">
        <f t="shared" si="3"/>
        <v>714.53244022210276</v>
      </c>
      <c r="I52" s="109">
        <f t="shared" si="4"/>
        <v>0.22810707978975397</v>
      </c>
      <c r="J52" s="110">
        <f t="shared" si="5"/>
        <v>4801.1978154147419</v>
      </c>
    </row>
    <row r="53" spans="2:10" x14ac:dyDescent="0.25">
      <c r="B53" s="18">
        <f t="shared" si="0"/>
        <v>2067</v>
      </c>
      <c r="C53" s="8">
        <v>0</v>
      </c>
      <c r="D53" s="105">
        <f t="shared" si="14"/>
        <v>6048</v>
      </c>
      <c r="E53" s="214">
        <v>15000</v>
      </c>
      <c r="F53" s="215">
        <f t="shared" si="1"/>
        <v>21048</v>
      </c>
      <c r="G53" s="109">
        <f t="shared" si="2"/>
        <v>3.1726877960394168E-2</v>
      </c>
      <c r="H53" s="98">
        <f t="shared" si="3"/>
        <v>667.78732731037644</v>
      </c>
      <c r="I53" s="109">
        <f t="shared" si="4"/>
        <v>0.22146318426189707</v>
      </c>
      <c r="J53" s="110">
        <f t="shared" si="5"/>
        <v>4661.3571023444092</v>
      </c>
    </row>
    <row r="54" spans="2:10" x14ac:dyDescent="0.25">
      <c r="B54" s="18">
        <f t="shared" si="0"/>
        <v>2068</v>
      </c>
      <c r="C54" s="8">
        <v>0</v>
      </c>
      <c r="D54" s="105">
        <f>60480*(0.1+0.7)</f>
        <v>48383.999999999993</v>
      </c>
      <c r="E54" s="214">
        <v>15000</v>
      </c>
      <c r="F54" s="215">
        <f t="shared" si="1"/>
        <v>63383.999999999993</v>
      </c>
      <c r="G54" s="109">
        <f t="shared" si="2"/>
        <v>2.9651287813452491E-2</v>
      </c>
      <c r="H54" s="98">
        <f t="shared" si="3"/>
        <v>1879.4172267678725</v>
      </c>
      <c r="I54" s="109">
        <f t="shared" si="4"/>
        <v>0.215012800254269</v>
      </c>
      <c r="J54" s="110">
        <f t="shared" si="5"/>
        <v>13628.371331316584</v>
      </c>
    </row>
    <row r="55" spans="2:10" x14ac:dyDescent="0.25">
      <c r="B55" s="18">
        <f>1+B54:B54</f>
        <v>2069</v>
      </c>
      <c r="C55" s="8">
        <v>0</v>
      </c>
      <c r="D55" s="105">
        <f t="shared" ref="D55:D58" si="15">60480*0.1</f>
        <v>6048</v>
      </c>
      <c r="E55" s="214">
        <v>25000</v>
      </c>
      <c r="F55" s="215">
        <f t="shared" si="1"/>
        <v>31048</v>
      </c>
      <c r="G55" s="109">
        <f t="shared" si="2"/>
        <v>2.7711483937806064E-2</v>
      </c>
      <c r="H55" s="98">
        <f t="shared" si="3"/>
        <v>860.38615330100265</v>
      </c>
      <c r="I55" s="109">
        <f t="shared" si="4"/>
        <v>0.20875029150899907</v>
      </c>
      <c r="J55" s="110">
        <f t="shared" si="5"/>
        <v>6481.2790507714035</v>
      </c>
    </row>
    <row r="56" spans="2:10" x14ac:dyDescent="0.25">
      <c r="B56" s="18">
        <f>1+B55:B55</f>
        <v>2070</v>
      </c>
      <c r="C56" s="98">
        <f>-(25/75*D87)</f>
        <v>0</v>
      </c>
      <c r="D56" s="105">
        <f t="shared" si="15"/>
        <v>6048</v>
      </c>
      <c r="E56" s="214">
        <v>15000</v>
      </c>
      <c r="F56" s="215">
        <f t="shared" si="1"/>
        <v>21048</v>
      </c>
      <c r="G56" s="109">
        <f t="shared" si="2"/>
        <v>2.5898583119444922E-2</v>
      </c>
      <c r="H56" s="98">
        <f t="shared" si="3"/>
        <v>545.11337749807672</v>
      </c>
      <c r="I56" s="109">
        <f t="shared" si="4"/>
        <v>0.20267018593106703</v>
      </c>
      <c r="J56" s="110">
        <f t="shared" si="5"/>
        <v>4265.8020734770989</v>
      </c>
    </row>
    <row r="57" spans="2:10" x14ac:dyDescent="0.25">
      <c r="B57" s="18">
        <f>1+B56:B56</f>
        <v>2071</v>
      </c>
      <c r="C57" s="98">
        <v>0</v>
      </c>
      <c r="D57" s="105">
        <f t="shared" si="15"/>
        <v>6048</v>
      </c>
      <c r="E57" s="214">
        <v>15000</v>
      </c>
      <c r="F57" s="215">
        <f t="shared" si="1"/>
        <v>21048</v>
      </c>
      <c r="G57" s="109">
        <f t="shared" si="2"/>
        <v>2.4204283289200861E-2</v>
      </c>
      <c r="H57" s="98">
        <f t="shared" si="3"/>
        <v>509.45175467109971</v>
      </c>
      <c r="I57" s="109">
        <f t="shared" si="4"/>
        <v>0.19676717080686118</v>
      </c>
      <c r="J57" s="110">
        <f t="shared" si="5"/>
        <v>4141.5554111428137</v>
      </c>
    </row>
    <row r="58" spans="2:10" x14ac:dyDescent="0.25">
      <c r="B58" s="18">
        <f>1+B57:B57</f>
        <v>2072</v>
      </c>
      <c r="C58" s="98">
        <f>-(25/75*D89)</f>
        <v>0</v>
      </c>
      <c r="D58" s="105">
        <f t="shared" si="15"/>
        <v>6048</v>
      </c>
      <c r="E58" s="214">
        <v>15000</v>
      </c>
      <c r="F58" s="215">
        <f t="shared" si="1"/>
        <v>21048</v>
      </c>
      <c r="G58" s="109">
        <f t="shared" si="2"/>
        <v>2.262082550392604E-2</v>
      </c>
      <c r="H58" s="98">
        <f t="shared" si="3"/>
        <v>476.12313520663531</v>
      </c>
      <c r="I58" s="109">
        <f t="shared" si="4"/>
        <v>0.19103608816200118</v>
      </c>
      <c r="J58" s="110">
        <f t="shared" si="5"/>
        <v>4020.9275836338011</v>
      </c>
    </row>
    <row r="59" spans="2:10" ht="15.75" thickBot="1" x14ac:dyDescent="0.3">
      <c r="B59" s="20">
        <f>1+B58:B58</f>
        <v>2073</v>
      </c>
      <c r="C59" s="99">
        <f>-(25/75*D86)</f>
        <v>0</v>
      </c>
      <c r="D59" s="106">
        <f>60480*(0.1+1.6)</f>
        <v>102816.00000000001</v>
      </c>
      <c r="E59" s="216">
        <v>15000</v>
      </c>
      <c r="F59" s="217">
        <f t="shared" si="1"/>
        <v>117816.00000000001</v>
      </c>
      <c r="G59" s="111">
        <f t="shared" si="2"/>
        <v>2.1140958414884149E-2</v>
      </c>
      <c r="H59" s="98">
        <f t="shared" si="3"/>
        <v>2490.7431566079913</v>
      </c>
      <c r="I59" s="111">
        <f t="shared" si="4"/>
        <v>0.18547193025437006</v>
      </c>
      <c r="J59" s="110">
        <f t="shared" si="5"/>
        <v>21851.560934848865</v>
      </c>
    </row>
    <row r="60" spans="2:10" ht="15.75" thickBot="1" x14ac:dyDescent="0.3">
      <c r="B60" s="100" t="s">
        <v>30</v>
      </c>
      <c r="C60" s="101">
        <f>SUM(C5:C59)</f>
        <v>19650000</v>
      </c>
      <c r="D60" s="101">
        <f>SUM(D5:D59)</f>
        <v>10838076.799999999</v>
      </c>
      <c r="E60" s="68">
        <f>SUM(E5:E59)</f>
        <v>875000</v>
      </c>
      <c r="F60" s="68">
        <f>SUM(F5:F59)</f>
        <v>31363076.800000004</v>
      </c>
      <c r="G60" s="113"/>
      <c r="H60" s="112">
        <f>SUM(H5:H59)</f>
        <v>15477778.266827853</v>
      </c>
      <c r="I60" s="113"/>
      <c r="J60" s="112">
        <f>SUM(J5:J59)</f>
        <v>21232076.507077057</v>
      </c>
    </row>
    <row r="61" spans="2:10" x14ac:dyDescent="0.25">
      <c r="F61" s="3"/>
    </row>
    <row r="62" spans="2:10" x14ac:dyDescent="0.25">
      <c r="G62" s="3"/>
    </row>
    <row r="63" spans="2:10" x14ac:dyDescent="0.25">
      <c r="G63" s="92"/>
      <c r="H63" s="89"/>
      <c r="I63" s="93"/>
      <c r="J63" s="89"/>
    </row>
    <row r="64" spans="2:10" x14ac:dyDescent="0.25">
      <c r="G64" s="92"/>
      <c r="H64" s="89"/>
      <c r="I64" s="93"/>
      <c r="J64" s="89"/>
    </row>
    <row r="65" spans="3:10" x14ac:dyDescent="0.25">
      <c r="G65" s="92"/>
      <c r="H65" s="89"/>
      <c r="I65" s="93"/>
      <c r="J65" s="89"/>
    </row>
    <row r="66" spans="3:10" x14ac:dyDescent="0.25">
      <c r="G66" s="92"/>
      <c r="H66" s="89"/>
      <c r="I66" s="93"/>
      <c r="J66" s="89"/>
    </row>
    <row r="67" spans="3:10" x14ac:dyDescent="0.25">
      <c r="G67" s="91"/>
      <c r="H67" s="91"/>
      <c r="I67" s="91"/>
      <c r="J67" s="89"/>
    </row>
    <row r="68" spans="3:10" x14ac:dyDescent="0.25">
      <c r="G68" s="91"/>
      <c r="H68" s="91"/>
      <c r="I68" s="91"/>
    </row>
    <row r="69" spans="3:10" x14ac:dyDescent="0.25">
      <c r="C69" s="64"/>
    </row>
    <row r="87" spans="3:3" x14ac:dyDescent="0.25">
      <c r="C87" s="1"/>
    </row>
  </sheetData>
  <mergeCells count="7">
    <mergeCell ref="M2:O2"/>
    <mergeCell ref="M14:N14"/>
    <mergeCell ref="O3:O4"/>
    <mergeCell ref="M10:M11"/>
    <mergeCell ref="N10:N11"/>
    <mergeCell ref="N3:N4"/>
    <mergeCell ref="M3:M4"/>
  </mergeCells>
  <pageMargins left="0.26" right="0.23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R76"/>
  <sheetViews>
    <sheetView tabSelected="1" workbookViewId="0">
      <selection activeCell="E3" sqref="E3"/>
    </sheetView>
  </sheetViews>
  <sheetFormatPr defaultRowHeight="15" x14ac:dyDescent="0.25"/>
  <cols>
    <col min="1" max="1" width="9.42578125" customWidth="1"/>
    <col min="2" max="3" width="10.140625" customWidth="1"/>
    <col min="4" max="4" width="11.5703125" customWidth="1"/>
    <col min="5" max="6" width="20.42578125" customWidth="1"/>
    <col min="7" max="10" width="14.42578125" customWidth="1"/>
    <col min="11" max="11" width="14" customWidth="1"/>
    <col min="12" max="12" width="9.7109375" customWidth="1"/>
    <col min="13" max="14" width="19.85546875" customWidth="1"/>
    <col min="15" max="15" width="14.42578125" customWidth="1"/>
    <col min="16" max="16" width="11" customWidth="1"/>
    <col min="17" max="17" width="17" customWidth="1"/>
  </cols>
  <sheetData>
    <row r="1" spans="1:18" ht="15.75" x14ac:dyDescent="0.25">
      <c r="A1" s="48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1.75" thickBo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9"/>
      <c r="P2" s="49"/>
      <c r="Q2" s="49"/>
      <c r="R2" s="49"/>
    </row>
    <row r="3" spans="1:18" ht="48" customHeight="1" thickBot="1" x14ac:dyDescent="0.3">
      <c r="A3" s="208" t="s">
        <v>0</v>
      </c>
      <c r="B3" s="56" t="s">
        <v>1</v>
      </c>
      <c r="C3" s="56" t="s">
        <v>123</v>
      </c>
      <c r="D3" s="56" t="s">
        <v>124</v>
      </c>
      <c r="E3" s="56" t="s">
        <v>126</v>
      </c>
      <c r="F3" s="56" t="s">
        <v>127</v>
      </c>
      <c r="G3" s="56" t="s">
        <v>125</v>
      </c>
      <c r="H3" s="56" t="s">
        <v>62</v>
      </c>
      <c r="I3" s="56" t="s">
        <v>61</v>
      </c>
      <c r="J3" s="56" t="s">
        <v>60</v>
      </c>
      <c r="K3" s="57" t="s">
        <v>52</v>
      </c>
      <c r="L3" s="225"/>
      <c r="M3" s="225"/>
      <c r="N3" s="225"/>
      <c r="O3" s="225"/>
      <c r="P3" s="225"/>
    </row>
    <row r="4" spans="1:18" x14ac:dyDescent="0.25">
      <c r="A4" s="24">
        <v>2016</v>
      </c>
      <c r="B4" s="26"/>
      <c r="C4" s="26"/>
      <c r="D4" s="26"/>
      <c r="E4" s="26"/>
      <c r="F4" s="26"/>
      <c r="G4" s="26"/>
      <c r="H4" s="25"/>
      <c r="I4" s="25"/>
      <c r="J4" s="25"/>
      <c r="K4" s="37"/>
    </row>
    <row r="5" spans="1:18" x14ac:dyDescent="0.25">
      <c r="A5" s="18">
        <f t="shared" ref="A5:A56" si="0">1+A4:A4</f>
        <v>2017</v>
      </c>
      <c r="B5" s="6"/>
      <c r="C5" s="6"/>
      <c r="D5" s="6"/>
      <c r="E5" s="6"/>
      <c r="F5" s="6"/>
      <c r="G5" s="6"/>
      <c r="H5" s="9"/>
      <c r="I5" s="9"/>
      <c r="J5" s="9"/>
      <c r="K5" s="33"/>
    </row>
    <row r="6" spans="1:18" x14ac:dyDescent="0.25">
      <c r="A6" s="18">
        <f t="shared" si="0"/>
        <v>2018</v>
      </c>
      <c r="B6" s="6"/>
      <c r="C6" s="6"/>
      <c r="D6" s="6"/>
      <c r="E6" s="6"/>
      <c r="F6" s="6"/>
      <c r="G6" s="6"/>
      <c r="H6" s="9"/>
      <c r="I6" s="9"/>
      <c r="J6" s="9"/>
      <c r="K6" s="33"/>
    </row>
    <row r="7" spans="1:18" ht="15.75" thickBot="1" x14ac:dyDescent="0.3">
      <c r="A7" s="18">
        <f t="shared" si="0"/>
        <v>2019</v>
      </c>
      <c r="B7" s="6">
        <v>1</v>
      </c>
      <c r="C7" s="6"/>
      <c r="D7" s="84">
        <f>'Traffic Volumes'!E8*1.16+'Traffic Volumes'!F8*1.51+'Traffic Volumes'!G8</f>
        <v>58315.051830609998</v>
      </c>
      <c r="E7" s="84">
        <f>(D7-(D7*0.38))/2</f>
        <v>18077.666067489099</v>
      </c>
      <c r="F7" s="84">
        <v>8</v>
      </c>
      <c r="G7" s="66">
        <v>0</v>
      </c>
      <c r="H7" s="8">
        <f>('Traffic Volumes'!E8/'Traffic Volumes'!C8)*('Work Zone Savings'!G7*'Work Zone Savings'!$O$12)*1.16</f>
        <v>0</v>
      </c>
      <c r="I7" s="8">
        <f>('Traffic Volumes'!F8/'Traffic Volumes'!C8)*('Work Zone Savings'!G7*1.51)*'Work Zone Savings'!$O$11</f>
        <v>0</v>
      </c>
      <c r="J7" s="8">
        <v>0</v>
      </c>
      <c r="K7" s="85">
        <f>SUM(H7:J7)</f>
        <v>0</v>
      </c>
      <c r="L7" s="3"/>
      <c r="M7" s="3"/>
      <c r="N7" s="3"/>
      <c r="O7" s="3"/>
    </row>
    <row r="8" spans="1:18" x14ac:dyDescent="0.25">
      <c r="A8" s="18">
        <f t="shared" si="0"/>
        <v>2020</v>
      </c>
      <c r="B8" s="6">
        <f>B7+1</f>
        <v>2</v>
      </c>
      <c r="C8" s="6"/>
      <c r="D8" s="84">
        <f>'Traffic Volumes'!E9*1.16+'Traffic Volumes'!F9*1.51+'Traffic Volumes'!G9</f>
        <v>58573.537887505394</v>
      </c>
      <c r="E8" s="84">
        <f t="shared" ref="E8:E61" si="1">(D8-(D8*0.38))/2</f>
        <v>18157.796745126674</v>
      </c>
      <c r="F8" s="84">
        <f>F7 *(1+0.01)</f>
        <v>8.08</v>
      </c>
      <c r="G8" s="66">
        <v>0</v>
      </c>
      <c r="H8" s="8">
        <f>('Traffic Volumes'!E9/'Traffic Volumes'!C9)*('Work Zone Savings'!G8*'Work Zone Savings'!$O$12)*1.16</f>
        <v>0</v>
      </c>
      <c r="I8" s="8">
        <f>('Traffic Volumes'!F9/'Traffic Volumes'!C9)*('Work Zone Savings'!G8*1.51)*'Work Zone Savings'!$O$11</f>
        <v>0</v>
      </c>
      <c r="J8" s="8">
        <f>'Traffic Volumes'!D9/'Traffic Volumes'!B9*'Work Zone Savings'!G8*'Work Zone Savings'!$O$13</f>
        <v>0</v>
      </c>
      <c r="K8" s="85">
        <f>SUM(H8:J8)</f>
        <v>0</v>
      </c>
      <c r="L8" s="3"/>
      <c r="M8" s="261" t="s">
        <v>48</v>
      </c>
      <c r="N8" s="262"/>
      <c r="O8" s="263"/>
    </row>
    <row r="9" spans="1:18" ht="15.75" thickBot="1" x14ac:dyDescent="0.3">
      <c r="A9" s="18">
        <f t="shared" si="0"/>
        <v>2021</v>
      </c>
      <c r="B9" s="6">
        <f t="shared" ref="B9:B61" si="2">B8+1</f>
        <v>3</v>
      </c>
      <c r="C9" s="6"/>
      <c r="D9" s="84">
        <f>'Traffic Volumes'!E10*1.16+'Traffic Volumes'!F10*1.51+'Traffic Volumes'!G10</f>
        <v>58832.023944400804</v>
      </c>
      <c r="E9" s="84">
        <f t="shared" si="1"/>
        <v>18237.927422764249</v>
      </c>
      <c r="F9" s="84">
        <f t="shared" ref="F9:F26" si="3">F8 *(1+0.1)</f>
        <v>8.8880000000000017</v>
      </c>
      <c r="G9" s="66">
        <f>((E9/45)-(E9/65))*F9</f>
        <v>1108.3671721950677</v>
      </c>
      <c r="H9" s="8">
        <f>('Traffic Volumes'!E10/'Traffic Volumes'!C10)*('Work Zone Savings'!G9*'Work Zone Savings'!$O$12)*1.16</f>
        <v>6988.5830973728716</v>
      </c>
      <c r="I9" s="8">
        <f>('Traffic Volumes'!F10/'Traffic Volumes'!C10)*('Work Zone Savings'!G9*1.51)*'Work Zone Savings'!$O$11</f>
        <v>24994.056577837324</v>
      </c>
      <c r="J9" s="8">
        <f>'Traffic Volumes'!D10/'Traffic Volumes'!B10*'Work Zone Savings'!G9*'Work Zone Savings'!$O$13</f>
        <v>1811.8699837307247</v>
      </c>
      <c r="K9" s="85">
        <f t="shared" ref="K9:K61" si="4">SUM(H9:J9)</f>
        <v>33794.509658940915</v>
      </c>
      <c r="L9" s="3"/>
      <c r="M9" s="264"/>
      <c r="N9" s="265"/>
      <c r="O9" s="266"/>
      <c r="P9" s="38"/>
      <c r="Q9" s="38"/>
      <c r="R9" s="38"/>
    </row>
    <row r="10" spans="1:18" ht="30.75" thickBot="1" x14ac:dyDescent="0.3">
      <c r="A10" s="18">
        <f t="shared" si="0"/>
        <v>2022</v>
      </c>
      <c r="B10" s="6">
        <f t="shared" si="2"/>
        <v>4</v>
      </c>
      <c r="C10" s="6"/>
      <c r="D10" s="84">
        <f>'Traffic Volumes'!E11*1.16+'Traffic Volumes'!F11*1.51+'Traffic Volumes'!G11</f>
        <v>59090.510001296199</v>
      </c>
      <c r="E10" s="84">
        <f t="shared" si="1"/>
        <v>18318.058100401824</v>
      </c>
      <c r="F10" s="84">
        <f t="shared" si="3"/>
        <v>9.7768000000000033</v>
      </c>
      <c r="G10" s="66">
        <f t="shared" ref="G10:G61" si="5">((E10/45)-(E10/65))*F10</f>
        <v>1224.5606183658708</v>
      </c>
      <c r="H10" s="8">
        <f>('Traffic Volumes'!E11/'Traffic Volumes'!C11)*('Work Zone Savings'!G10*'Work Zone Savings'!$O$12)*1.16</f>
        <v>7721.2171687398513</v>
      </c>
      <c r="I10" s="8">
        <f>('Traffic Volumes'!F11/'Traffic Volumes'!C11)*('Work Zone Savings'!G10*1.51)*'Work Zone Savings'!$O$11</f>
        <v>27614.258294760632</v>
      </c>
      <c r="J10" s="8">
        <f>'Traffic Volumes'!D11/'Traffic Volumes'!B11*'Work Zone Savings'!G10*'Work Zone Savings'!$O$13</f>
        <v>2001.8137340550559</v>
      </c>
      <c r="K10" s="85">
        <f t="shared" si="4"/>
        <v>37337.289197555532</v>
      </c>
      <c r="L10" s="3"/>
      <c r="M10" s="55" t="s">
        <v>44</v>
      </c>
      <c r="N10" s="56" t="s">
        <v>49</v>
      </c>
      <c r="O10" s="57" t="s">
        <v>49</v>
      </c>
      <c r="P10" s="58"/>
      <c r="Q10" s="58"/>
      <c r="R10" s="58"/>
    </row>
    <row r="11" spans="1:18" x14ac:dyDescent="0.25">
      <c r="A11" s="18">
        <f t="shared" si="0"/>
        <v>2023</v>
      </c>
      <c r="B11" s="6">
        <f t="shared" si="2"/>
        <v>5</v>
      </c>
      <c r="C11" s="6"/>
      <c r="D11" s="84">
        <f>'Traffic Volumes'!E12*1.16+'Traffic Volumes'!F12*1.51+'Traffic Volumes'!G12</f>
        <v>59348.996058191595</v>
      </c>
      <c r="E11" s="84">
        <f t="shared" si="1"/>
        <v>18398.188778039395</v>
      </c>
      <c r="F11" s="84">
        <f t="shared" si="3"/>
        <v>10.754480000000004</v>
      </c>
      <c r="G11" s="66">
        <f t="shared" si="5"/>
        <v>1352.9090820488836</v>
      </c>
      <c r="H11" s="8">
        <f>('Traffic Volumes'!E12/'Traffic Volumes'!C12)*('Work Zone Savings'!G11*'Work Zone Savings'!$O$12)*1.16</f>
        <v>8530.4922234064979</v>
      </c>
      <c r="I11" s="8">
        <f>('Traffic Volumes'!F12/'Traffic Volumes'!C12)*('Work Zone Savings'!G11*1.51)*'Work Zone Savings'!$O$11</f>
        <v>30508.559789290222</v>
      </c>
      <c r="J11" s="8">
        <f>'Traffic Volumes'!D12/'Traffic Volumes'!B12*'Work Zone Savings'!G11*'Work Zone Savings'!$O$13</f>
        <v>2211.6275346069519</v>
      </c>
      <c r="K11" s="85">
        <f t="shared" si="4"/>
        <v>41250.679547303669</v>
      </c>
      <c r="L11" s="3"/>
      <c r="M11" s="36" t="s">
        <v>45</v>
      </c>
      <c r="N11" s="53">
        <v>19</v>
      </c>
      <c r="O11" s="54">
        <f>N11*GDP!B7</f>
        <v>19</v>
      </c>
      <c r="P11" s="59"/>
      <c r="Q11" s="59"/>
      <c r="R11" s="59"/>
    </row>
    <row r="12" spans="1:18" x14ac:dyDescent="0.25">
      <c r="A12" s="18">
        <f t="shared" si="0"/>
        <v>2024</v>
      </c>
      <c r="B12" s="6">
        <f t="shared" si="2"/>
        <v>6</v>
      </c>
      <c r="C12" s="6"/>
      <c r="D12" s="84">
        <f>'Traffic Volumes'!E13*1.16+'Traffic Volumes'!F13*1.51+'Traffic Volumes'!G13</f>
        <v>59607.482115086998</v>
      </c>
      <c r="E12" s="84">
        <f t="shared" si="1"/>
        <v>18478.319455676967</v>
      </c>
      <c r="F12" s="84">
        <f t="shared" si="3"/>
        <v>11.829928000000006</v>
      </c>
      <c r="G12" s="66">
        <f t="shared" si="5"/>
        <v>1494.6816322848397</v>
      </c>
      <c r="H12" s="8">
        <f>('Traffic Volumes'!E13/'Traffic Volumes'!C13)*('Work Zone Savings'!G12*'Work Zone Savings'!$O$12)*1.16</f>
        <v>9424.4101173190702</v>
      </c>
      <c r="I12" s="8">
        <f>('Traffic Volumes'!F13/'Traffic Volumes'!C13)*('Work Zone Savings'!G12*1.51)*'Work Zone Savings'!$O$11</f>
        <v>33705.578999778118</v>
      </c>
      <c r="J12" s="8">
        <f>'Traffic Volumes'!D13/'Traffic Volumes'!B13*'Work Zone Savings'!G12*'Work Zone Savings'!$O$13</f>
        <v>2443.3859579286755</v>
      </c>
      <c r="K12" s="85">
        <f t="shared" si="4"/>
        <v>45573.375075025862</v>
      </c>
      <c r="L12" s="3"/>
      <c r="M12" s="32" t="s">
        <v>46</v>
      </c>
      <c r="N12" s="51">
        <v>25.4</v>
      </c>
      <c r="O12" s="54">
        <f>N12*GDP!B7</f>
        <v>25.4</v>
      </c>
      <c r="P12" s="59"/>
      <c r="Q12" s="59"/>
      <c r="R12" s="59"/>
    </row>
    <row r="13" spans="1:18" ht="15.75" thickBot="1" x14ac:dyDescent="0.3">
      <c r="A13" s="18">
        <f t="shared" si="0"/>
        <v>2025</v>
      </c>
      <c r="B13" s="6">
        <f t="shared" si="2"/>
        <v>7</v>
      </c>
      <c r="C13" s="6"/>
      <c r="D13" s="84">
        <f>'Traffic Volumes'!E14*1.16+'Traffic Volumes'!F14*1.51+'Traffic Volumes'!G14</f>
        <v>59865.968171982393</v>
      </c>
      <c r="E13" s="84">
        <f t="shared" si="1"/>
        <v>18558.450133314542</v>
      </c>
      <c r="F13" s="84">
        <f t="shared" si="3"/>
        <v>13.012920800000007</v>
      </c>
      <c r="G13" s="66">
        <f t="shared" si="5"/>
        <v>1651.2796017474989</v>
      </c>
      <c r="H13" s="8">
        <f>('Traffic Volumes'!E14/'Traffic Volumes'!C14)*('Work Zone Savings'!G13*'Work Zone Savings'!$O$12)*1.16</f>
        <v>10411.806667780096</v>
      </c>
      <c r="I13" s="8">
        <f>('Traffic Volumes'!F14/'Traffic Volumes'!C14)*('Work Zone Savings'!G13*1.51)*'Work Zone Savings'!$O$11</f>
        <v>37236.916454470695</v>
      </c>
      <c r="J13" s="8">
        <f>'Traffic Volumes'!D14/'Traffic Volumes'!B14*'Work Zone Savings'!G13*'Work Zone Savings'!$O$13</f>
        <v>2699.3797905686761</v>
      </c>
      <c r="K13" s="85">
        <f t="shared" si="4"/>
        <v>50348.102912819464</v>
      </c>
      <c r="L13" s="3"/>
      <c r="M13" s="34" t="s">
        <v>47</v>
      </c>
      <c r="N13" s="52">
        <v>27.2</v>
      </c>
      <c r="O13" s="228">
        <f>N13*GDP!B7</f>
        <v>27.2</v>
      </c>
      <c r="P13" s="59"/>
      <c r="Q13" s="59"/>
      <c r="R13" s="59"/>
    </row>
    <row r="14" spans="1:18" ht="15.75" thickBot="1" x14ac:dyDescent="0.3">
      <c r="A14" s="18">
        <f t="shared" si="0"/>
        <v>2026</v>
      </c>
      <c r="B14" s="6">
        <f t="shared" si="2"/>
        <v>8</v>
      </c>
      <c r="C14" s="6"/>
      <c r="D14" s="84">
        <f>'Traffic Volumes'!E15*1.16+'Traffic Volumes'!F15*1.51+'Traffic Volumes'!G15</f>
        <v>60124.454228877796</v>
      </c>
      <c r="E14" s="84">
        <f t="shared" si="1"/>
        <v>18638.580810952117</v>
      </c>
      <c r="F14" s="84">
        <f t="shared" si="3"/>
        <v>14.314212880000008</v>
      </c>
      <c r="G14" s="66">
        <f t="shared" si="5"/>
        <v>1824.2503487798415</v>
      </c>
      <c r="H14" s="8">
        <f>('Traffic Volumes'!E15/'Traffic Volumes'!C15)*('Work Zone Savings'!G14*'Work Zone Savings'!$O$12)*1.16</f>
        <v>11502.438427160139</v>
      </c>
      <c r="I14" s="8">
        <f>('Traffic Volumes'!F15/'Traffic Volumes'!C15)*('Work Zone Savings'!G14*1.51)*'Work Zone Savings'!$O$11</f>
        <v>41137.465610104016</v>
      </c>
      <c r="J14" s="8">
        <f>'Traffic Volumes'!D15/'Traffic Volumes'!B15*'Work Zone Savings'!G14*'Work Zone Savings'!$O$13</f>
        <v>2982.1385301573805</v>
      </c>
      <c r="K14" s="85">
        <f t="shared" si="4"/>
        <v>55622.042567421537</v>
      </c>
      <c r="L14" s="3"/>
    </row>
    <row r="15" spans="1:18" ht="29.25" customHeight="1" thickBot="1" x14ac:dyDescent="0.3">
      <c r="A15" s="18">
        <f t="shared" si="0"/>
        <v>2027</v>
      </c>
      <c r="B15" s="6">
        <f t="shared" si="2"/>
        <v>9</v>
      </c>
      <c r="C15" s="6"/>
      <c r="D15" s="84">
        <f>'Traffic Volumes'!E16*1.16+'Traffic Volumes'!F16*1.51+'Traffic Volumes'!G16</f>
        <v>60382.940285773191</v>
      </c>
      <c r="E15" s="84">
        <f t="shared" si="1"/>
        <v>18718.711488589688</v>
      </c>
      <c r="F15" s="84">
        <f t="shared" si="3"/>
        <v>15.745634168000011</v>
      </c>
      <c r="G15" s="66">
        <f t="shared" si="5"/>
        <v>2015.3024492011771</v>
      </c>
      <c r="H15" s="8">
        <f>('Traffic Volumes'!E16/'Traffic Volumes'!C16)*('Work Zone Savings'!G15*'Work Zone Savings'!$O$12)*1.16</f>
        <v>12707.078471738383</v>
      </c>
      <c r="I15" s="8">
        <f>('Traffic Volumes'!F16/'Traffic Volumes'!C16)*('Work Zone Savings'!G15*1.51)*'Work Zone Savings'!$O$11</f>
        <v>45445.755432319274</v>
      </c>
      <c r="J15" s="8">
        <f>'Traffic Volumes'!D16/'Traffic Volumes'!B16*'Work Zone Savings'!G15*'Work Zone Savings'!$O$13</f>
        <v>3294.4552197581484</v>
      </c>
      <c r="K15" s="85">
        <f t="shared" si="4"/>
        <v>61447.289123815804</v>
      </c>
      <c r="L15" s="3"/>
      <c r="M15" s="260" t="s">
        <v>50</v>
      </c>
      <c r="N15" s="255"/>
      <c r="O15" s="114"/>
      <c r="P15" s="38"/>
    </row>
    <row r="16" spans="1:18" ht="15.75" thickBot="1" x14ac:dyDescent="0.3">
      <c r="A16" s="18">
        <f t="shared" si="0"/>
        <v>2028</v>
      </c>
      <c r="B16" s="6">
        <f t="shared" si="2"/>
        <v>10</v>
      </c>
      <c r="C16" s="6"/>
      <c r="D16" s="84">
        <f>'Traffic Volumes'!E17*1.16+'Traffic Volumes'!F17*1.51+'Traffic Volumes'!G17</f>
        <v>60641.426342668587</v>
      </c>
      <c r="E16" s="84">
        <f t="shared" si="1"/>
        <v>18798.842166227259</v>
      </c>
      <c r="F16" s="84">
        <f t="shared" si="3"/>
        <v>17.320197584800013</v>
      </c>
      <c r="G16" s="66">
        <f t="shared" si="5"/>
        <v>2226.3224662189809</v>
      </c>
      <c r="H16" s="8">
        <f>('Traffic Volumes'!E17/'Traffic Volumes'!C17)*('Work Zone Savings'!G16*'Work Zone Savings'!$O$12)*1.16</f>
        <v>14037.622140960673</v>
      </c>
      <c r="I16" s="8">
        <f>('Traffic Volumes'!F17/'Traffic Volumes'!C17)*('Work Zone Savings'!G16*1.51)*'Work Zone Savings'!$O$11</f>
        <v>50204.328562876537</v>
      </c>
      <c r="J16" s="8">
        <f>'Traffic Volumes'!D17/'Traffic Volumes'!B17*'Work Zone Savings'!G16*'Work Zone Savings'!$O$13</f>
        <v>3639.4138619774949</v>
      </c>
      <c r="K16" s="85">
        <f t="shared" si="4"/>
        <v>67881.3645658147</v>
      </c>
      <c r="L16" s="3"/>
      <c r="M16" s="74" t="s">
        <v>46</v>
      </c>
      <c r="N16" s="211">
        <v>0.214</v>
      </c>
      <c r="O16" s="95"/>
      <c r="P16" s="38"/>
    </row>
    <row r="17" spans="1:18" ht="15.75" thickBot="1" x14ac:dyDescent="0.3">
      <c r="A17" s="18">
        <f t="shared" si="0"/>
        <v>2029</v>
      </c>
      <c r="B17" s="6">
        <f t="shared" si="2"/>
        <v>11</v>
      </c>
      <c r="C17" s="6"/>
      <c r="D17" s="84">
        <f>'Traffic Volumes'!E18*1.16+'Traffic Volumes'!F18*1.51+'Traffic Volumes'!G18</f>
        <v>60899.912399563989</v>
      </c>
      <c r="E17" s="84">
        <f t="shared" si="1"/>
        <v>18878.972843864838</v>
      </c>
      <c r="F17" s="84">
        <f t="shared" si="3"/>
        <v>19.052217343280017</v>
      </c>
      <c r="G17" s="66">
        <f t="shared" si="5"/>
        <v>2459.3934621483363</v>
      </c>
      <c r="H17" s="8">
        <f>('Traffic Volumes'!E18/'Traffic Volumes'!C18)*('Work Zone Savings'!G17*'Work Zone Savings'!$O$12)*1.16</f>
        <v>15507.203759310054</v>
      </c>
      <c r="I17" s="8">
        <f>('Traffic Volumes'!F18/'Traffic Volumes'!C18)*('Work Zone Savings'!G17*1.51)*'Work Zone Savings'!$O$11</f>
        <v>55460.158765222113</v>
      </c>
      <c r="J17" s="8">
        <f>'Traffic Volumes'!D18/'Traffic Volumes'!B18*'Work Zone Savings'!G17*'Work Zone Savings'!$O$13</f>
        <v>4020.4196804431335</v>
      </c>
      <c r="K17" s="85">
        <f t="shared" si="4"/>
        <v>74987.782204975287</v>
      </c>
      <c r="L17" s="3"/>
      <c r="M17" s="74" t="s">
        <v>51</v>
      </c>
      <c r="N17" s="211">
        <v>0.78600000000000003</v>
      </c>
      <c r="O17" s="95"/>
      <c r="P17" s="38"/>
    </row>
    <row r="18" spans="1:18" x14ac:dyDescent="0.25">
      <c r="A18" s="18">
        <f t="shared" si="0"/>
        <v>2030</v>
      </c>
      <c r="B18" s="6">
        <f t="shared" si="2"/>
        <v>12</v>
      </c>
      <c r="C18" s="6"/>
      <c r="D18" s="84">
        <f>'Traffic Volumes'!E19*1.16+'Traffic Volumes'!F19*1.51+'Traffic Volumes'!G19</f>
        <v>61158.398456459385</v>
      </c>
      <c r="E18" s="84">
        <f t="shared" si="1"/>
        <v>18959.103521502409</v>
      </c>
      <c r="F18" s="84">
        <f t="shared" si="3"/>
        <v>20.957439077608019</v>
      </c>
      <c r="G18" s="66">
        <f t="shared" si="5"/>
        <v>2716.81543260137</v>
      </c>
      <c r="H18" s="8">
        <f>('Traffic Volumes'!E19/'Traffic Volumes'!C19)*('Work Zone Savings'!G18*'Work Zone Savings'!$O$12)*1.16</f>
        <v>17130.325479919687</v>
      </c>
      <c r="I18" s="8">
        <f>('Traffic Volumes'!F19/'Traffic Volumes'!C19)*('Work Zone Savings'!G18*1.51)*'Work Zone Savings'!$O$11</f>
        <v>61265.111722407979</v>
      </c>
      <c r="J18" s="8">
        <f>'Traffic Volumes'!D19/'Traffic Volumes'!B19*'Work Zone Savings'!G18*'Work Zone Savings'!$O$13</f>
        <v>4441.2325239821203</v>
      </c>
      <c r="K18" s="85">
        <f t="shared" si="4"/>
        <v>82836.669726309789</v>
      </c>
      <c r="L18" s="3"/>
    </row>
    <row r="19" spans="1:18" x14ac:dyDescent="0.25">
      <c r="A19" s="18">
        <f t="shared" si="0"/>
        <v>2031</v>
      </c>
      <c r="B19" s="6">
        <f t="shared" si="2"/>
        <v>13</v>
      </c>
      <c r="C19" s="6"/>
      <c r="D19" s="84">
        <f>'Traffic Volumes'!E20*1.16+'Traffic Volumes'!F20*1.51+'Traffic Volumes'!G20</f>
        <v>61416.88451335478</v>
      </c>
      <c r="E19" s="84">
        <f t="shared" si="1"/>
        <v>19039.234199139981</v>
      </c>
      <c r="F19" s="84">
        <f t="shared" si="3"/>
        <v>23.053182985368821</v>
      </c>
      <c r="G19" s="66">
        <f t="shared" si="5"/>
        <v>3001.1278625235286</v>
      </c>
      <c r="H19" s="8">
        <f>('Traffic Volumes'!E20/'Traffic Volumes'!C20)*('Work Zone Savings'!G19*'Work Zone Savings'!$O$12)*1.16</f>
        <v>18922.99950705815</v>
      </c>
      <c r="I19" s="8">
        <f>('Traffic Volumes'!F20/'Traffic Volumes'!C20)*('Work Zone Savings'!G19*1.51)*'Work Zone Savings'!$O$11</f>
        <v>67676.45368337883</v>
      </c>
      <c r="J19" s="8">
        <f>'Traffic Volumes'!D20/'Traffic Volumes'!B20*'Work Zone Savings'!G19*'Work Zone Savings'!$O$13</f>
        <v>4906.0037394244609</v>
      </c>
      <c r="K19" s="85">
        <f t="shared" si="4"/>
        <v>91505.456929861437</v>
      </c>
      <c r="L19" s="3"/>
      <c r="M19" s="259" t="s">
        <v>116</v>
      </c>
      <c r="N19" s="258"/>
      <c r="O19" s="258"/>
      <c r="P19" s="224"/>
      <c r="Q19" s="90"/>
      <c r="R19" s="90"/>
    </row>
    <row r="20" spans="1:18" x14ac:dyDescent="0.25">
      <c r="A20" s="18">
        <f t="shared" si="0"/>
        <v>2032</v>
      </c>
      <c r="B20" s="6">
        <f t="shared" si="2"/>
        <v>14</v>
      </c>
      <c r="C20" s="6"/>
      <c r="D20" s="84">
        <f>'Traffic Volumes'!E21*1.16+'Traffic Volumes'!F21*1.51+'Traffic Volumes'!G21</f>
        <v>61675.37057025019</v>
      </c>
      <c r="E20" s="84">
        <f t="shared" si="1"/>
        <v>19119.364876777559</v>
      </c>
      <c r="F20" s="84">
        <f t="shared" si="3"/>
        <v>25.358501283905706</v>
      </c>
      <c r="G20" s="66">
        <f t="shared" si="5"/>
        <v>3315.134624104106</v>
      </c>
      <c r="H20" s="8">
        <f>('Traffic Volumes'!E21/'Traffic Volumes'!C21)*('Work Zone Savings'!G20*'Work Zone Savings'!$O$12)*1.16</f>
        <v>20902.905084825117</v>
      </c>
      <c r="I20" s="8">
        <f>('Traffic Volumes'!F21/'Traffic Volumes'!C21)*('Work Zone Savings'!G20*1.51)*'Work Zone Savings'!$O$11</f>
        <v>74757.412919319788</v>
      </c>
      <c r="J20" s="8">
        <f>'Traffic Volumes'!D21/'Traffic Volumes'!B21*'Work Zone Savings'!G20*'Work Zone Savings'!$O$13</f>
        <v>5419.3168727154671</v>
      </c>
      <c r="K20" s="85">
        <f t="shared" si="4"/>
        <v>101079.63487686038</v>
      </c>
      <c r="L20" s="3"/>
      <c r="M20" s="258"/>
      <c r="N20" s="258"/>
      <c r="O20" s="258"/>
      <c r="P20" s="224"/>
      <c r="Q20" s="90"/>
      <c r="R20" s="90"/>
    </row>
    <row r="21" spans="1:18" x14ac:dyDescent="0.25">
      <c r="A21" s="18">
        <f t="shared" si="0"/>
        <v>2033</v>
      </c>
      <c r="B21" s="6">
        <f t="shared" si="2"/>
        <v>15</v>
      </c>
      <c r="C21" s="6"/>
      <c r="D21" s="84">
        <f>'Traffic Volumes'!E22*1.16+'Traffic Volumes'!F22*1.51+'Traffic Volumes'!G22</f>
        <v>61933.856627145586</v>
      </c>
      <c r="E21" s="84">
        <f t="shared" si="1"/>
        <v>19199.495554415131</v>
      </c>
      <c r="F21" s="84">
        <f t="shared" si="3"/>
        <v>27.894351412296281</v>
      </c>
      <c r="G21" s="66">
        <f t="shared" si="5"/>
        <v>3661.9314593755616</v>
      </c>
      <c r="H21" s="8">
        <f>('Traffic Volumes'!E22/'Traffic Volumes'!C22)*('Work Zone Savings'!G21*'Work Zone Savings'!$O$12)*1.16</f>
        <v>23089.561783074892</v>
      </c>
      <c r="I21" s="8">
        <f>('Traffic Volumes'!F22/'Traffic Volumes'!C22)*('Work Zone Savings'!G21*1.51)*'Work Zone Savings'!$O$11</f>
        <v>82577.799465615099</v>
      </c>
      <c r="J21" s="8">
        <f>'Traffic Volumes'!D22/'Traffic Volumes'!B22*'Work Zone Savings'!G21*'Work Zone Savings'!$O$13</f>
        <v>5986.2325952704241</v>
      </c>
      <c r="K21" s="85">
        <f t="shared" si="4"/>
        <v>111653.59384396042</v>
      </c>
      <c r="L21" s="3"/>
      <c r="M21" s="258"/>
      <c r="N21" s="258"/>
      <c r="O21" s="258"/>
      <c r="P21" s="218"/>
    </row>
    <row r="22" spans="1:18" x14ac:dyDescent="0.25">
      <c r="A22" s="18">
        <f t="shared" si="0"/>
        <v>2034</v>
      </c>
      <c r="B22" s="6">
        <f t="shared" si="2"/>
        <v>16</v>
      </c>
      <c r="C22" s="6"/>
      <c r="D22" s="84">
        <f>'Traffic Volumes'!E23*1.16+'Traffic Volumes'!F23*1.51+'Traffic Volumes'!G23</f>
        <v>62192.342684040981</v>
      </c>
      <c r="E22" s="84">
        <f t="shared" si="1"/>
        <v>19279.626232052702</v>
      </c>
      <c r="F22" s="84">
        <f t="shared" si="3"/>
        <v>30.683786553525913</v>
      </c>
      <c r="G22" s="66">
        <f t="shared" si="5"/>
        <v>4044.936315460267</v>
      </c>
      <c r="H22" s="8">
        <f>('Traffic Volumes'!E23/'Traffic Volumes'!C23)*('Work Zone Savings'!G22*'Work Zone Savings'!$O$12)*1.16</f>
        <v>25504.520770126357</v>
      </c>
      <c r="I22" s="8">
        <f>('Traffic Volumes'!F23/'Traffic Volumes'!C23)*('Work Zone Savings'!G22*1.51)*'Work Zone Savings'!$O$11</f>
        <v>91214.689191976286</v>
      </c>
      <c r="J22" s="8">
        <f>'Traffic Volumes'!D23/'Traffic Volumes'!B23*'Work Zone Savings'!G22*'Work Zone Savings'!$O$13</f>
        <v>6612.3382936092185</v>
      </c>
      <c r="K22" s="85">
        <f t="shared" si="4"/>
        <v>123331.54825571187</v>
      </c>
      <c r="L22" s="3"/>
      <c r="N22" s="218"/>
      <c r="O22" s="218"/>
      <c r="P22" s="218"/>
    </row>
    <row r="23" spans="1:18" x14ac:dyDescent="0.25">
      <c r="A23" s="18">
        <f t="shared" si="0"/>
        <v>2035</v>
      </c>
      <c r="B23" s="6">
        <f t="shared" si="2"/>
        <v>17</v>
      </c>
      <c r="C23" s="6"/>
      <c r="D23" s="84">
        <f>'Traffic Volumes'!E24*1.16+'Traffic Volumes'!F24*1.51+'Traffic Volumes'!G24</f>
        <v>62450.828740936384</v>
      </c>
      <c r="E23" s="84">
        <f t="shared" si="1"/>
        <v>19359.756909690281</v>
      </c>
      <c r="F23" s="84">
        <f t="shared" si="3"/>
        <v>33.752165208878509</v>
      </c>
      <c r="G23" s="66">
        <f t="shared" si="5"/>
        <v>4467.9228281681617</v>
      </c>
      <c r="H23" s="8">
        <f>('Traffic Volumes'!E24/'Traffic Volumes'!C24)*('Work Zone Savings'!G23*'Work Zone Savings'!$O$12)*1.16</f>
        <v>28171.575936757396</v>
      </c>
      <c r="I23" s="8">
        <f>('Traffic Volumes'!F24/'Traffic Volumes'!C24)*('Work Zone Savings'!G23*1.51)*'Work Zone Savings'!$O$11</f>
        <v>100753.17886895363</v>
      </c>
      <c r="J23" s="8">
        <f>'Traffic Volumes'!D24/'Traffic Volumes'!B24*'Work Zone Savings'!G23*'Work Zone Savings'!$O$13</f>
        <v>7303.8028056630546</v>
      </c>
      <c r="K23" s="85">
        <f t="shared" si="4"/>
        <v>136228.55761137407</v>
      </c>
      <c r="L23" s="3"/>
      <c r="N23" s="218"/>
      <c r="O23" s="218"/>
      <c r="P23" s="218"/>
    </row>
    <row r="24" spans="1:18" x14ac:dyDescent="0.25">
      <c r="A24" s="18">
        <f t="shared" si="0"/>
        <v>2036</v>
      </c>
      <c r="B24" s="6">
        <f t="shared" si="2"/>
        <v>18</v>
      </c>
      <c r="C24" s="6"/>
      <c r="D24" s="84">
        <f>'Traffic Volumes'!E25*1.16+'Traffic Volumes'!F25*1.51+'Traffic Volumes'!G25</f>
        <v>62709.314797831779</v>
      </c>
      <c r="E24" s="84">
        <f t="shared" si="1"/>
        <v>19439.887587327852</v>
      </c>
      <c r="F24" s="84">
        <f t="shared" si="3"/>
        <v>37.127381729766363</v>
      </c>
      <c r="G24" s="66">
        <f t="shared" si="5"/>
        <v>4935.0572802630286</v>
      </c>
      <c r="H24" s="8">
        <f>('Traffic Volumes'!E25/'Traffic Volumes'!C25)*('Work Zone Savings'!G24*'Work Zone Savings'!$O$12)*1.16</f>
        <v>31116.996929013349</v>
      </c>
      <c r="I24" s="8">
        <f>('Traffic Volumes'!F25/'Traffic Volumes'!C25)*('Work Zone Savings'!G24*1.51)*'Work Zone Savings'!$O$11</f>
        <v>111287.21958940658</v>
      </c>
      <c r="J24" s="8">
        <f>'Traffic Volumes'!D25/'Traffic Volumes'!B25*'Work Zone Savings'!G24*'Work Zone Savings'!$O$13</f>
        <v>8067.4368371915789</v>
      </c>
      <c r="K24" s="85">
        <f t="shared" si="4"/>
        <v>150471.65335561152</v>
      </c>
      <c r="L24" s="3"/>
      <c r="M24" s="3"/>
      <c r="N24" s="3"/>
      <c r="O24" s="3"/>
    </row>
    <row r="25" spans="1:18" x14ac:dyDescent="0.25">
      <c r="A25" s="18">
        <f t="shared" si="0"/>
        <v>2037</v>
      </c>
      <c r="B25" s="6">
        <f t="shared" si="2"/>
        <v>19</v>
      </c>
      <c r="C25" s="6"/>
      <c r="D25" s="84">
        <f>'Traffic Volumes'!E26*1.16+'Traffic Volumes'!F26*1.51+'Traffic Volumes'!G26</f>
        <v>62967.800854727182</v>
      </c>
      <c r="E25" s="84">
        <f t="shared" si="1"/>
        <v>19520.018264965427</v>
      </c>
      <c r="F25" s="84">
        <f t="shared" si="3"/>
        <v>40.840119902743005</v>
      </c>
      <c r="G25" s="66">
        <f t="shared" si="5"/>
        <v>5450.9393944951908</v>
      </c>
      <c r="H25" s="8">
        <f>('Traffic Volumes'!E26/'Traffic Volumes'!C26)*('Work Zone Savings'!G25*'Work Zone Savings'!$O$12)*1.16</f>
        <v>34369.78636035294</v>
      </c>
      <c r="I25" s="8">
        <f>('Traffic Volumes'!F26/'Traffic Volumes'!C26)*('Work Zone Savings'!G25*1.51)*'Work Zone Savings'!$O$11</f>
        <v>122920.53666526069</v>
      </c>
      <c r="J25" s="8">
        <f>'Traffic Volumes'!D26/'Traffic Volumes'!B26*'Work Zone Savings'!G25*'Work Zone Savings'!$O$13</f>
        <v>8910.7596469691834</v>
      </c>
      <c r="K25" s="85">
        <f t="shared" si="4"/>
        <v>166201.08267258279</v>
      </c>
      <c r="L25" s="3"/>
      <c r="M25" s="3"/>
      <c r="N25" s="3"/>
      <c r="O25" s="3"/>
    </row>
    <row r="26" spans="1:18" x14ac:dyDescent="0.25">
      <c r="A26" s="18">
        <f t="shared" si="0"/>
        <v>2038</v>
      </c>
      <c r="B26" s="6">
        <f t="shared" si="2"/>
        <v>20</v>
      </c>
      <c r="C26" s="6"/>
      <c r="D26" s="84">
        <f>'Traffic Volumes'!E27*1.16+'Traffic Volumes'!F27*1.51+'Traffic Volumes'!G27</f>
        <v>63226.28691162257</v>
      </c>
      <c r="E26" s="84">
        <f t="shared" si="1"/>
        <v>19600.148942602995</v>
      </c>
      <c r="F26" s="84">
        <f t="shared" si="3"/>
        <v>44.924131893017311</v>
      </c>
      <c r="G26" s="66">
        <f t="shared" si="5"/>
        <v>6020.6473587711507</v>
      </c>
      <c r="H26" s="8">
        <f>('Traffic Volumes'!E27/'Traffic Volumes'!C27)*('Work Zone Savings'!G26*'Work Zone Savings'!$O$12)*1.16</f>
        <v>37961.963708670301</v>
      </c>
      <c r="I26" s="8">
        <f>('Traffic Volumes'!F27/'Traffic Volumes'!C27)*('Work Zone Savings'!G26*1.51)*'Work Zone Savings'!$O$11</f>
        <v>135767.64496039142</v>
      </c>
      <c r="J26" s="8">
        <f>'Traffic Volumes'!D27/'Traffic Volumes'!B27*'Work Zone Savings'!G26*'Work Zone Savings'!$O$13</f>
        <v>9842.0726503303886</v>
      </c>
      <c r="K26" s="85">
        <f t="shared" si="4"/>
        <v>183571.68131939211</v>
      </c>
      <c r="L26" s="3"/>
      <c r="M26" s="3"/>
      <c r="N26" s="3"/>
      <c r="O26" s="3"/>
    </row>
    <row r="27" spans="1:18" x14ac:dyDescent="0.25">
      <c r="A27" s="18">
        <f t="shared" si="0"/>
        <v>2039</v>
      </c>
      <c r="B27" s="6">
        <f t="shared" si="2"/>
        <v>21</v>
      </c>
      <c r="C27" s="6"/>
      <c r="D27" s="84">
        <f>'Traffic Volumes'!E28*1.16+'Traffic Volumes'!F28*1.51+'Traffic Volumes'!G28</f>
        <v>63484.772968517973</v>
      </c>
      <c r="E27" s="84">
        <f t="shared" si="1"/>
        <v>19680.279620240573</v>
      </c>
      <c r="F27" s="84">
        <f t="shared" ref="F27:F50" si="6">F26 *(1+0.01)</f>
        <v>45.373373211947481</v>
      </c>
      <c r="G27" s="66">
        <f t="shared" si="5"/>
        <v>6105.7139974335696</v>
      </c>
      <c r="H27" s="8">
        <f>('Traffic Volumes'!E28/'Traffic Volumes'!C28)*('Work Zone Savings'!G27*'Work Zone Savings'!$O$12)*1.16</f>
        <v>38498.334045161893</v>
      </c>
      <c r="I27" s="8">
        <f>('Traffic Volumes'!F28/'Traffic Volumes'!C28)*('Work Zone Savings'!G27*1.51)*'Work Zone Savings'!$O$11</f>
        <v>137685.92658488613</v>
      </c>
      <c r="J27" s="8">
        <f>'Traffic Volumes'!D28/'Traffic Volumes'!B28*'Work Zone Savings'!G27*'Work Zone Savings'!$O$13</f>
        <v>9981.1327858846253</v>
      </c>
      <c r="K27" s="85">
        <f t="shared" si="4"/>
        <v>186165.39341593266</v>
      </c>
      <c r="L27" s="3"/>
      <c r="M27" s="3"/>
      <c r="N27" s="3"/>
      <c r="O27" s="3"/>
    </row>
    <row r="28" spans="1:18" x14ac:dyDescent="0.25">
      <c r="A28" s="18">
        <f t="shared" si="0"/>
        <v>2040</v>
      </c>
      <c r="B28" s="6">
        <f t="shared" si="2"/>
        <v>22</v>
      </c>
      <c r="C28" s="6"/>
      <c r="D28" s="84">
        <f>'Traffic Volumes'!E29*1.16+'Traffic Volumes'!F29*1.51+'Traffic Volumes'!G29</f>
        <v>63743.259025413376</v>
      </c>
      <c r="E28" s="84">
        <f t="shared" si="1"/>
        <v>19760.410297878145</v>
      </c>
      <c r="F28" s="84">
        <f t="shared" si="6"/>
        <v>45.827106944066955</v>
      </c>
      <c r="G28" s="66">
        <f t="shared" si="5"/>
        <v>6191.8799041333577</v>
      </c>
      <c r="H28" s="8">
        <f>('Traffic Volumes'!E29/'Traffic Volumes'!C29)*('Work Zone Savings'!G28*'Work Zone Savings'!$O$12)*1.16</f>
        <v>39041.635592012441</v>
      </c>
      <c r="I28" s="8">
        <f>('Traffic Volumes'!F29/'Traffic Volumes'!C29)*('Work Zone Savings'!G28*1.51)*'Work Zone Savings'!$O$11</f>
        <v>139628.99707737463</v>
      </c>
      <c r="J28" s="8">
        <f>'Traffic Volumes'!D29/'Traffic Volumes'!B29*'Work Zone Savings'!G28*'Work Zone Savings'!$O$13</f>
        <v>10121.989916884881</v>
      </c>
      <c r="K28" s="85">
        <f t="shared" si="4"/>
        <v>188792.62258627196</v>
      </c>
      <c r="L28" s="3"/>
      <c r="M28" s="3"/>
      <c r="N28" s="3"/>
      <c r="O28" s="3"/>
    </row>
    <row r="29" spans="1:18" x14ac:dyDescent="0.25">
      <c r="A29" s="18">
        <f t="shared" si="0"/>
        <v>2041</v>
      </c>
      <c r="B29" s="6">
        <f t="shared" si="2"/>
        <v>23</v>
      </c>
      <c r="C29" s="6"/>
      <c r="D29" s="84">
        <f>'Traffic Volumes'!E30*1.16+'Traffic Volumes'!F30*1.51+'Traffic Volumes'!G30</f>
        <v>64001.745082308778</v>
      </c>
      <c r="E29" s="84">
        <f t="shared" si="1"/>
        <v>19840.540975515723</v>
      </c>
      <c r="F29" s="84">
        <f t="shared" si="6"/>
        <v>46.285378013507625</v>
      </c>
      <c r="G29" s="66">
        <f t="shared" si="5"/>
        <v>6279.1585575674035</v>
      </c>
      <c r="H29" s="8">
        <f>('Traffic Volumes'!E30/'Traffic Volumes'!C30)*('Work Zone Savings'!G29*'Work Zone Savings'!$O$12)*1.16</f>
        <v>39591.953336395512</v>
      </c>
      <c r="I29" s="8">
        <f>('Traffic Volumes'!F30/'Traffic Volumes'!C30)*('Work Zone Savings'!G29*1.51)*'Work Zone Savings'!$O$11</f>
        <v>141597.16038705455</v>
      </c>
      <c r="J29" s="8">
        <f>'Traffic Volumes'!D30/'Traffic Volumes'!B30*'Work Zone Savings'!G29*'Work Zone Savings'!$O$13</f>
        <v>10264.666077226591</v>
      </c>
      <c r="K29" s="85">
        <f t="shared" si="4"/>
        <v>191453.77980067665</v>
      </c>
      <c r="L29" s="3"/>
      <c r="M29" s="3"/>
      <c r="N29" s="3"/>
      <c r="O29" s="3"/>
    </row>
    <row r="30" spans="1:18" x14ac:dyDescent="0.25">
      <c r="A30" s="18">
        <f t="shared" si="0"/>
        <v>2042</v>
      </c>
      <c r="B30" s="6">
        <f t="shared" si="2"/>
        <v>24</v>
      </c>
      <c r="C30" s="6"/>
      <c r="D30" s="84">
        <f>'Traffic Volumes'!E31*1.16+'Traffic Volumes'!F31*1.51+'Traffic Volumes'!G31</f>
        <v>64260.231139204167</v>
      </c>
      <c r="E30" s="84">
        <f t="shared" si="1"/>
        <v>19920.671653153291</v>
      </c>
      <c r="F30" s="84">
        <f t="shared" si="6"/>
        <v>46.748231793642702</v>
      </c>
      <c r="G30" s="66">
        <f t="shared" si="5"/>
        <v>6367.5635960797117</v>
      </c>
      <c r="H30" s="8">
        <f>('Traffic Volumes'!E31/'Traffic Volumes'!C31)*('Work Zone Savings'!G30*'Work Zone Savings'!$O$12)*1.16</f>
        <v>40149.373272107012</v>
      </c>
      <c r="I30" s="8">
        <f>('Traffic Volumes'!F31/'Traffic Volumes'!C31)*('Work Zone Savings'!G30*1.51)*'Work Zone Savings'!$O$11</f>
        <v>143590.72406322017</v>
      </c>
      <c r="J30" s="8">
        <f>'Traffic Volumes'!D31/'Traffic Volumes'!B31*'Work Zone Savings'!G30*'Work Zone Savings'!$O$13</f>
        <v>10409.183561783437</v>
      </c>
      <c r="K30" s="85">
        <f t="shared" si="4"/>
        <v>194149.28089711061</v>
      </c>
      <c r="L30" s="3"/>
      <c r="M30" s="3"/>
      <c r="N30" s="3"/>
      <c r="O30" s="3"/>
    </row>
    <row r="31" spans="1:18" x14ac:dyDescent="0.25">
      <c r="A31" s="18">
        <f t="shared" si="0"/>
        <v>2043</v>
      </c>
      <c r="B31" s="6">
        <f t="shared" si="2"/>
        <v>25</v>
      </c>
      <c r="C31" s="6"/>
      <c r="D31" s="84">
        <f>'Traffic Volumes'!E32*1.16+'Traffic Volumes'!F32*1.51+'Traffic Volumes'!G32</f>
        <v>64518.717196099569</v>
      </c>
      <c r="E31" s="84">
        <f t="shared" si="1"/>
        <v>20000.802330790866</v>
      </c>
      <c r="F31" s="84">
        <v>8</v>
      </c>
      <c r="G31" s="66">
        <f t="shared" si="5"/>
        <v>1094.0609821971075</v>
      </c>
      <c r="H31" s="8">
        <f>('Traffic Volumes'!E32/'Traffic Volumes'!C32)*('Work Zone Savings'!G31*'Work Zone Savings'!$O$12)*1.16</f>
        <v>6898.3783348034904</v>
      </c>
      <c r="I31" s="8">
        <f>('Traffic Volumes'!F32/'Traffic Volumes'!C32)*('Work Zone Savings'!G31*1.51)*'Work Zone Savings'!$O$11</f>
        <v>24671.447129278728</v>
      </c>
      <c r="J31" s="8">
        <f>'Traffic Volumes'!D32/'Traffic Volumes'!B32*'Work Zone Savings'!G31*'Work Zone Savings'!$O$13</f>
        <v>1788.4833688172585</v>
      </c>
      <c r="K31" s="85">
        <f t="shared" si="4"/>
        <v>33358.308832899478</v>
      </c>
      <c r="L31" s="3"/>
      <c r="M31" s="3"/>
      <c r="N31" s="3"/>
      <c r="O31" s="3"/>
    </row>
    <row r="32" spans="1:18" x14ac:dyDescent="0.25">
      <c r="A32" s="18">
        <f t="shared" si="0"/>
        <v>2044</v>
      </c>
      <c r="B32" s="6">
        <f t="shared" si="2"/>
        <v>26</v>
      </c>
      <c r="C32" s="6"/>
      <c r="D32" s="84">
        <f>'Traffic Volumes'!E33*1.16+'Traffic Volumes'!F33*1.51+'Traffic Volumes'!G33</f>
        <v>64777.203252994972</v>
      </c>
      <c r="E32" s="84">
        <f t="shared" si="1"/>
        <v>20080.933008428441</v>
      </c>
      <c r="F32" s="84">
        <f>F31 *(1+0.01)</f>
        <v>8.08</v>
      </c>
      <c r="G32" s="66">
        <f t="shared" si="5"/>
        <v>1109.4286407391576</v>
      </c>
      <c r="H32" s="8">
        <f>('Traffic Volumes'!E33/'Traffic Volumes'!C33)*('Work Zone Savings'!G32*'Work Zone Savings'!$O$12)*1.16</f>
        <v>6995.2759707380455</v>
      </c>
      <c r="I32" s="8">
        <f>('Traffic Volumes'!F33/'Traffic Volumes'!C33)*('Work Zone Savings'!G32*1.51)*'Work Zone Savings'!$O$11</f>
        <v>25017.993054405855</v>
      </c>
      <c r="J32" s="8">
        <f>'Traffic Volumes'!D33/'Traffic Volumes'!B33*'Work Zone Savings'!G32*'Work Zone Savings'!$O$13</f>
        <v>1813.6051875891146</v>
      </c>
      <c r="K32" s="85">
        <f t="shared" si="4"/>
        <v>33826.874212733019</v>
      </c>
      <c r="L32" s="3"/>
      <c r="M32" s="3"/>
      <c r="N32" s="3"/>
      <c r="O32" s="3"/>
    </row>
    <row r="33" spans="1:15" x14ac:dyDescent="0.25">
      <c r="A33" s="18">
        <f t="shared" si="0"/>
        <v>2045</v>
      </c>
      <c r="B33" s="6">
        <f t="shared" si="2"/>
        <v>27</v>
      </c>
      <c r="C33" s="6"/>
      <c r="D33" s="84">
        <f>'Traffic Volumes'!E34*1.16+'Traffic Volumes'!F34*1.51+'Traffic Volumes'!G34</f>
        <v>65035.689309890367</v>
      </c>
      <c r="E33" s="84">
        <f t="shared" si="1"/>
        <v>20161.063686066016</v>
      </c>
      <c r="F33" s="84">
        <f t="shared" si="6"/>
        <v>8.1608000000000001</v>
      </c>
      <c r="G33" s="66">
        <f t="shared" si="5"/>
        <v>1124.9942463538293</v>
      </c>
      <c r="H33" s="8">
        <f>('Traffic Volumes'!E34/'Traffic Volumes'!C34)*('Work Zone Savings'!G33*'Work Zone Savings'!$O$12)*1.16</f>
        <v>7093.4217215578128</v>
      </c>
      <c r="I33" s="8">
        <f>('Traffic Volumes'!F34/'Traffic Volumes'!C34)*('Work Zone Savings'!G33*1.51)*'Work Zone Savings'!$O$11</f>
        <v>25369.002753322617</v>
      </c>
      <c r="J33" s="8">
        <f>'Traffic Volumes'!D34/'Traffic Volumes'!B34*'Work Zone Savings'!G33*'Work Zone Savings'!$O$13</f>
        <v>1839.0505943995322</v>
      </c>
      <c r="K33" s="85">
        <f t="shared" si="4"/>
        <v>34301.475069279964</v>
      </c>
      <c r="L33" s="3"/>
      <c r="M33" s="3"/>
      <c r="N33" s="3"/>
      <c r="O33" s="3"/>
    </row>
    <row r="34" spans="1:15" x14ac:dyDescent="0.25">
      <c r="A34" s="18">
        <f t="shared" si="0"/>
        <v>2046</v>
      </c>
      <c r="B34" s="6">
        <f t="shared" si="2"/>
        <v>28</v>
      </c>
      <c r="C34" s="6"/>
      <c r="D34" s="84">
        <f>'Traffic Volumes'!E35*1.16+'Traffic Volumes'!F35*1.51+'Traffic Volumes'!G35</f>
        <v>65294.17536678577</v>
      </c>
      <c r="E34" s="84">
        <f t="shared" si="1"/>
        <v>20241.194363703587</v>
      </c>
      <c r="F34" s="84">
        <f t="shared" si="6"/>
        <v>8.2424079999999993</v>
      </c>
      <c r="G34" s="66">
        <f t="shared" si="5"/>
        <v>1140.7602212167201</v>
      </c>
      <c r="H34" s="8">
        <f>('Traffic Volumes'!E35/'Traffic Volumes'!C35)*('Work Zone Savings'!G34*'Work Zone Savings'!$O$12)*1.16</f>
        <v>7192.8308597968989</v>
      </c>
      <c r="I34" s="8">
        <f>('Traffic Volumes'!F35/'Traffic Volumes'!C35)*('Work Zone Savings'!G34*1.51)*'Work Zone Savings'!$O$11</f>
        <v>25724.530846912254</v>
      </c>
      <c r="J34" s="8">
        <f>'Traffic Volumes'!D35/'Traffic Volumes'!B35*'Work Zone Savings'!G34*'Work Zone Savings'!$O$13</f>
        <v>1864.8235488273979</v>
      </c>
      <c r="K34" s="85">
        <f t="shared" si="4"/>
        <v>34782.185255536555</v>
      </c>
      <c r="L34" s="3"/>
      <c r="M34" s="3"/>
      <c r="N34" s="3"/>
      <c r="O34" s="3"/>
    </row>
    <row r="35" spans="1:15" x14ac:dyDescent="0.25">
      <c r="A35" s="18">
        <f t="shared" si="0"/>
        <v>2047</v>
      </c>
      <c r="B35" s="6">
        <f t="shared" si="2"/>
        <v>29</v>
      </c>
      <c r="C35" s="6"/>
      <c r="D35" s="84">
        <f>'Traffic Volumes'!E36*1.16+'Traffic Volumes'!F36*1.51+'Traffic Volumes'!G36</f>
        <v>65552.661423681158</v>
      </c>
      <c r="E35" s="84">
        <f t="shared" si="1"/>
        <v>20321.325041341159</v>
      </c>
      <c r="F35" s="84">
        <f t="shared" si="6"/>
        <v>8.3248320800000002</v>
      </c>
      <c r="G35" s="66">
        <f t="shared" si="5"/>
        <v>1156.7290161522335</v>
      </c>
      <c r="H35" s="8">
        <f>('Traffic Volumes'!E36/'Traffic Volumes'!C36)*('Work Zone Savings'!G35*'Work Zone Savings'!$O$12)*1.16</f>
        <v>7293.5188386286118</v>
      </c>
      <c r="I35" s="8">
        <f>('Traffic Volumes'!F36/'Traffic Volumes'!C36)*('Work Zone Savings'!G35*1.51)*'Work Zone Savings'!$O$11</f>
        <v>26084.632602098358</v>
      </c>
      <c r="J35" s="8">
        <f>'Traffic Volumes'!D36/'Traffic Volumes'!B36*'Work Zone Savings'!G35*'Work Zone Savings'!$O$13</f>
        <v>1890.9280572843813</v>
      </c>
      <c r="K35" s="85">
        <f t="shared" si="4"/>
        <v>35269.07949801135</v>
      </c>
      <c r="L35" s="3"/>
      <c r="M35" s="3"/>
      <c r="N35" s="3"/>
      <c r="O35" s="3"/>
    </row>
    <row r="36" spans="1:15" x14ac:dyDescent="0.25">
      <c r="A36" s="18">
        <f t="shared" si="0"/>
        <v>2048</v>
      </c>
      <c r="B36" s="6">
        <f t="shared" si="2"/>
        <v>30</v>
      </c>
      <c r="C36" s="6"/>
      <c r="D36" s="84">
        <f>'Traffic Volumes'!E37*1.16+'Traffic Volumes'!F37*1.51+'Traffic Volumes'!G37</f>
        <v>65811.147480576561</v>
      </c>
      <c r="E36" s="84">
        <f t="shared" si="1"/>
        <v>20401.455718978734</v>
      </c>
      <c r="F36" s="84">
        <f t="shared" si="6"/>
        <v>8.4080804007999994</v>
      </c>
      <c r="G36" s="66">
        <f t="shared" si="5"/>
        <v>1172.9031109643363</v>
      </c>
      <c r="H36" s="8">
        <f>('Traffic Volumes'!E37/'Traffic Volumes'!C37)*('Work Zone Savings'!G36*'Work Zone Savings'!$O$12)*1.16</f>
        <v>7395.5012939509852</v>
      </c>
      <c r="I36" s="8">
        <f>('Traffic Volumes'!F37/'Traffic Volumes'!C37)*('Work Zone Savings'!G36*1.51)*'Work Zone Savings'!$O$11</f>
        <v>26449.363939303516</v>
      </c>
      <c r="J36" s="8">
        <f>'Traffic Volumes'!D37/'Traffic Volumes'!B37*'Work Zone Savings'!G36*'Work Zone Savings'!$O$13</f>
        <v>1917.3681735556233</v>
      </c>
      <c r="K36" s="85">
        <f t="shared" si="4"/>
        <v>35762.233406810126</v>
      </c>
      <c r="L36" s="3"/>
      <c r="M36" s="3"/>
      <c r="N36" s="3"/>
      <c r="O36" s="3"/>
    </row>
    <row r="37" spans="1:15" x14ac:dyDescent="0.25">
      <c r="A37" s="18">
        <f t="shared" si="0"/>
        <v>2049</v>
      </c>
      <c r="B37" s="6">
        <f t="shared" si="2"/>
        <v>31</v>
      </c>
      <c r="C37" s="6"/>
      <c r="D37" s="84">
        <f>'Traffic Volumes'!E38*1.16+'Traffic Volumes'!F38*1.51+'Traffic Volumes'!G38</f>
        <v>66069.633537471964</v>
      </c>
      <c r="E37" s="84">
        <f t="shared" si="1"/>
        <v>20481.586396616309</v>
      </c>
      <c r="F37" s="84">
        <f t="shared" si="6"/>
        <v>8.4921612048079993</v>
      </c>
      <c r="G37" s="66">
        <f t="shared" si="5"/>
        <v>1189.2850147710656</v>
      </c>
      <c r="H37" s="8">
        <f>('Traffic Volumes'!E38/'Traffic Volumes'!C38)*('Work Zone Savings'!G37*'Work Zone Savings'!$O$12)*1.16</f>
        <v>7498.7940464959393</v>
      </c>
      <c r="I37" s="8">
        <f>('Traffic Volumes'!F38/'Traffic Volumes'!C38)*('Work Zone Savings'!G37*1.51)*'Work Zone Savings'!$O$11</f>
        <v>26818.781439992552</v>
      </c>
      <c r="J37" s="8">
        <f>'Traffic Volumes'!D38/'Traffic Volumes'!B38*'Work Zone Savings'!G37*'Work Zone Savings'!$O$13</f>
        <v>1944.1479993465562</v>
      </c>
      <c r="K37" s="85">
        <f t="shared" si="4"/>
        <v>36261.723485835049</v>
      </c>
      <c r="L37" s="3"/>
      <c r="M37" s="3"/>
      <c r="N37" s="3"/>
      <c r="O37" s="3"/>
    </row>
    <row r="38" spans="1:15" x14ac:dyDescent="0.25">
      <c r="A38" s="18">
        <f t="shared" si="0"/>
        <v>2050</v>
      </c>
      <c r="B38" s="6">
        <f t="shared" si="2"/>
        <v>32</v>
      </c>
      <c r="C38" s="6"/>
      <c r="D38" s="84">
        <f>'Traffic Volumes'!E39*1.16+'Traffic Volumes'!F39*1.51+'Traffic Volumes'!G39</f>
        <v>66328.119594367367</v>
      </c>
      <c r="E38" s="84">
        <f t="shared" si="1"/>
        <v>20561.717074253884</v>
      </c>
      <c r="F38" s="84">
        <f t="shared" si="6"/>
        <v>8.5770828168560787</v>
      </c>
      <c r="G38" s="66">
        <f t="shared" si="5"/>
        <v>1205.8772663428322</v>
      </c>
      <c r="H38" s="8">
        <f>('Traffic Volumes'!E39/'Traffic Volumes'!C39)*('Work Zone Savings'!G38*'Work Zone Savings'!$O$12)*1.16</f>
        <v>7603.4131039623944</v>
      </c>
      <c r="I38" s="8">
        <f>('Traffic Volumes'!F39/'Traffic Volumes'!C39)*('Work Zone Savings'!G38*1.51)*'Work Zone Savings'!$O$11</f>
        <v>27192.942354301427</v>
      </c>
      <c r="J38" s="8">
        <f>'Traffic Volumes'!D39/'Traffic Volumes'!B39*'Work Zone Savings'!G38*'Work Zone Savings'!$O$13</f>
        <v>1971.2716848359553</v>
      </c>
      <c r="K38" s="85">
        <f t="shared" si="4"/>
        <v>36767.62714309978</v>
      </c>
      <c r="L38" s="3"/>
      <c r="M38" s="3"/>
      <c r="N38" s="3"/>
      <c r="O38" s="3"/>
    </row>
    <row r="39" spans="1:15" x14ac:dyDescent="0.25">
      <c r="A39" s="18">
        <f t="shared" si="0"/>
        <v>2051</v>
      </c>
      <c r="B39" s="6">
        <f t="shared" si="2"/>
        <v>33</v>
      </c>
      <c r="C39" s="6"/>
      <c r="D39" s="84">
        <f>'Traffic Volumes'!E40*1.16+'Traffic Volumes'!F40*1.51+'Traffic Volumes'!G40</f>
        <v>66586.605651262769</v>
      </c>
      <c r="E39" s="84">
        <f t="shared" si="1"/>
        <v>20641.847751891459</v>
      </c>
      <c r="F39" s="84">
        <f t="shared" si="6"/>
        <v>8.6628536450246401</v>
      </c>
      <c r="G39" s="66">
        <f t="shared" si="5"/>
        <v>1222.6824344445579</v>
      </c>
      <c r="H39" s="8">
        <f>('Traffic Volumes'!E40/'Traffic Volumes'!C40)*('Work Zone Savings'!G39*'Work Zone Savings'!$O$12)*1.16</f>
        <v>7709.3746631735321</v>
      </c>
      <c r="I39" s="8">
        <f>('Traffic Volumes'!F40/'Traffic Volumes'!C40)*('Work Zone Savings'!G39*1.51)*'Work Zone Savings'!$O$11</f>
        <v>27571.904608752495</v>
      </c>
      <c r="J39" s="8">
        <f>'Traffic Volumes'!D40/'Traffic Volumes'!B40*'Work Zone Savings'!G39*'Work Zone Savings'!$O$13</f>
        <v>1998.7434292352095</v>
      </c>
      <c r="K39" s="85">
        <f t="shared" si="4"/>
        <v>37280.022701161237</v>
      </c>
      <c r="L39" s="3"/>
      <c r="M39" s="3"/>
      <c r="N39" s="3"/>
      <c r="O39" s="3"/>
    </row>
    <row r="40" spans="1:15" x14ac:dyDescent="0.25">
      <c r="A40" s="18">
        <f t="shared" si="0"/>
        <v>2052</v>
      </c>
      <c r="B40" s="6">
        <f t="shared" si="2"/>
        <v>34</v>
      </c>
      <c r="C40" s="6"/>
      <c r="D40" s="84">
        <f>'Traffic Volumes'!E41*1.16+'Traffic Volumes'!F41*1.51+'Traffic Volumes'!G41</f>
        <v>66845.091708158172</v>
      </c>
      <c r="E40" s="84">
        <f t="shared" si="1"/>
        <v>20721.978429529034</v>
      </c>
      <c r="F40" s="84">
        <f t="shared" si="6"/>
        <v>8.7494821814748871</v>
      </c>
      <c r="G40" s="66">
        <f t="shared" si="5"/>
        <v>1239.7031181816837</v>
      </c>
      <c r="H40" s="8">
        <f>('Traffic Volumes'!E41/'Traffic Volumes'!C41)*('Work Zone Savings'!G40*'Work Zone Savings'!$O$12)*1.16</f>
        <v>7816.6951122584978</v>
      </c>
      <c r="I40" s="8">
        <f>('Traffic Volumes'!F41/'Traffic Volumes'!C41)*('Work Zone Savings'!G40*1.51)*'Work Zone Savings'!$O$11</f>
        <v>27955.726814057154</v>
      </c>
      <c r="J40" s="8">
        <f>'Traffic Volumes'!D41/'Traffic Volumes'!B41*'Work Zone Savings'!G40*'Work Zone Savings'!$O$13</f>
        <v>2026.5674813539651</v>
      </c>
      <c r="K40" s="85">
        <f t="shared" si="4"/>
        <v>37798.989407669622</v>
      </c>
      <c r="L40" s="3"/>
      <c r="M40" s="3"/>
      <c r="N40" s="3"/>
      <c r="O40" s="3"/>
    </row>
    <row r="41" spans="1:15" x14ac:dyDescent="0.25">
      <c r="A41" s="18">
        <f t="shared" si="0"/>
        <v>2053</v>
      </c>
      <c r="B41" s="6">
        <f t="shared" si="2"/>
        <v>35</v>
      </c>
      <c r="C41" s="6"/>
      <c r="D41" s="84">
        <f>'Traffic Volumes'!E42*1.16+'Traffic Volumes'!F42*1.51+'Traffic Volumes'!G42</f>
        <v>67103.577765053575</v>
      </c>
      <c r="E41" s="84">
        <f t="shared" si="1"/>
        <v>20802.109107166609</v>
      </c>
      <c r="F41" s="84">
        <f t="shared" si="6"/>
        <v>8.8369770032896362</v>
      </c>
      <c r="G41" s="66">
        <f t="shared" si="5"/>
        <v>1256.9419473501077</v>
      </c>
      <c r="H41" s="8">
        <f>('Traffic Volumes'!E42/'Traffic Volumes'!C42)*('Work Zone Savings'!G41*'Work Zone Savings'!$O$12)*1.16</f>
        <v>7925.3910328588445</v>
      </c>
      <c r="I41" s="8">
        <f>('Traffic Volumes'!F42/'Traffic Volumes'!C42)*('Work Zone Savings'!G41*1.51)*'Work Zone Savings'!$O$11</f>
        <v>28344.468273007034</v>
      </c>
      <c r="J41" s="8">
        <f>'Traffic Volumes'!D42/'Traffic Volumes'!B42*'Work Zone Savings'!G41*'Work Zone Savings'!$O$13</f>
        <v>2054.748140172167</v>
      </c>
      <c r="K41" s="85">
        <f t="shared" si="4"/>
        <v>38324.607446038048</v>
      </c>
      <c r="L41" s="3"/>
      <c r="M41" s="3"/>
      <c r="N41" s="3"/>
      <c r="O41" s="3"/>
    </row>
    <row r="42" spans="1:15" x14ac:dyDescent="0.25">
      <c r="A42" s="18">
        <f t="shared" si="0"/>
        <v>2054</v>
      </c>
      <c r="B42" s="6">
        <f t="shared" si="2"/>
        <v>36</v>
      </c>
      <c r="C42" s="6"/>
      <c r="D42" s="84">
        <f>'Traffic Volumes'!E43*1.16+'Traffic Volumes'!F43*1.51+'Traffic Volumes'!G43</f>
        <v>67362.063821948948</v>
      </c>
      <c r="E42" s="84">
        <f t="shared" si="1"/>
        <v>20882.239784804173</v>
      </c>
      <c r="F42" s="84">
        <f t="shared" si="6"/>
        <v>8.9253467733225325</v>
      </c>
      <c r="G42" s="66">
        <f t="shared" si="5"/>
        <v>1274.4015827900814</v>
      </c>
      <c r="H42" s="8">
        <f>('Traffic Volumes'!E43/'Traffic Volumes'!C43)*('Work Zone Savings'!G42*'Work Zone Savings'!$O$12)*1.16</f>
        <v>8035.4792023599693</v>
      </c>
      <c r="I42" s="8">
        <f>('Traffic Volumes'!F43/'Traffic Volumes'!C43)*('Work Zone Savings'!G42*1.51)*'Work Zone Savings'!$O$11</f>
        <v>28738.188988454487</v>
      </c>
      <c r="J42" s="8">
        <f>'Traffic Volumes'!D43/'Traffic Volumes'!B43*'Work Zone Savings'!G42*'Work Zone Savings'!$O$13</f>
        <v>2083.289755418602</v>
      </c>
      <c r="K42" s="85">
        <f t="shared" si="4"/>
        <v>38856.957946233058</v>
      </c>
      <c r="L42" s="3"/>
      <c r="M42" s="3"/>
      <c r="N42" s="3"/>
      <c r="O42" s="3"/>
    </row>
    <row r="43" spans="1:15" x14ac:dyDescent="0.25">
      <c r="A43" s="18">
        <f t="shared" si="0"/>
        <v>2055</v>
      </c>
      <c r="B43" s="6">
        <f t="shared" si="2"/>
        <v>37</v>
      </c>
      <c r="C43" s="6"/>
      <c r="D43" s="84">
        <f>'Traffic Volumes'!E44*1.16+'Traffic Volumes'!F44*1.51+'Traffic Volumes'!G44</f>
        <v>67620.549878844366</v>
      </c>
      <c r="E43" s="84">
        <f t="shared" si="1"/>
        <v>20962.370462441751</v>
      </c>
      <c r="F43" s="84">
        <f t="shared" si="6"/>
        <v>9.0146002410557582</v>
      </c>
      <c r="G43" s="66">
        <f t="shared" si="5"/>
        <v>1292.08471674412</v>
      </c>
      <c r="H43" s="8">
        <f>('Traffic Volumes'!E44/'Traffic Volumes'!C44)*('Work Zone Savings'!G43*'Work Zone Savings'!$O$12)*1.16</f>
        <v>8146.9765961478315</v>
      </c>
      <c r="I43" s="8">
        <f>('Traffic Volumes'!F44/'Traffic Volumes'!C44)*('Work Zone Savings'!G43*1.51)*'Work Zone Savings'!$O$11</f>
        <v>29136.949671383598</v>
      </c>
      <c r="J43" s="8">
        <f>'Traffic Volumes'!D44/'Traffic Volumes'!B44*'Work Zone Savings'!G43*'Work Zone Savings'!$O$13</f>
        <v>2112.1967281559491</v>
      </c>
      <c r="K43" s="85">
        <f t="shared" si="4"/>
        <v>39396.122995687379</v>
      </c>
      <c r="L43" s="3"/>
      <c r="M43" s="3"/>
      <c r="N43" s="3"/>
      <c r="O43" s="3"/>
    </row>
    <row r="44" spans="1:15" x14ac:dyDescent="0.25">
      <c r="A44" s="18">
        <f t="shared" si="0"/>
        <v>2056</v>
      </c>
      <c r="B44" s="6">
        <f t="shared" si="2"/>
        <v>38</v>
      </c>
      <c r="C44" s="6"/>
      <c r="D44" s="84">
        <f>'Traffic Volumes'!E45*1.16+'Traffic Volumes'!F45*1.51+'Traffic Volumes'!G45</f>
        <v>67879.035935739754</v>
      </c>
      <c r="E44" s="84">
        <f t="shared" si="1"/>
        <v>21042.501140079323</v>
      </c>
      <c r="F44" s="84">
        <f t="shared" si="6"/>
        <v>9.104746243466316</v>
      </c>
      <c r="G44" s="66">
        <f t="shared" si="5"/>
        <v>1309.99407321896</v>
      </c>
      <c r="H44" s="8">
        <f>('Traffic Volumes'!E45/'Traffic Volumes'!C45)*('Work Zone Savings'!G44*'Work Zone Savings'!$O$12)*1.16</f>
        <v>8259.9003898912142</v>
      </c>
      <c r="I44" s="8">
        <f>('Traffic Volumes'!F45/'Traffic Volumes'!C45)*('Work Zone Savings'!G44*1.51)*'Work Zone Savings'!$O$11</f>
        <v>29540.811749072447</v>
      </c>
      <c r="J44" s="8">
        <f>'Traffic Volumes'!D45/'Traffic Volumes'!B45*'Work Zone Savings'!G44*'Work Zone Savings'!$O$13</f>
        <v>2141.473511372501</v>
      </c>
      <c r="K44" s="85">
        <f t="shared" si="4"/>
        <v>39942.185650336163</v>
      </c>
      <c r="L44" s="3"/>
      <c r="M44" s="3"/>
      <c r="N44" s="3"/>
      <c r="O44" s="3"/>
    </row>
    <row r="45" spans="1:15" x14ac:dyDescent="0.25">
      <c r="A45" s="18">
        <f t="shared" si="0"/>
        <v>2057</v>
      </c>
      <c r="B45" s="6">
        <f t="shared" si="2"/>
        <v>39</v>
      </c>
      <c r="C45" s="6"/>
      <c r="D45" s="84">
        <f>'Traffic Volumes'!E46*1.16+'Traffic Volumes'!F46*1.51+'Traffic Volumes'!G46</f>
        <v>68137.521992635156</v>
      </c>
      <c r="E45" s="84">
        <f t="shared" si="1"/>
        <v>21122.631817716898</v>
      </c>
      <c r="F45" s="84">
        <f t="shared" si="6"/>
        <v>9.1957937059009787</v>
      </c>
      <c r="G45" s="66">
        <f t="shared" si="5"/>
        <v>1328.1324083516222</v>
      </c>
      <c r="H45" s="8">
        <f>('Traffic Volumes'!E46/'Traffic Volumes'!C46)*('Work Zone Savings'!G45*'Work Zone Savings'!$O$12)*1.16</f>
        <v>8374.2679618498496</v>
      </c>
      <c r="I45" s="8">
        <f>('Traffic Volumes'!F46/'Traffic Volumes'!C46)*('Work Zone Savings'!G45*1.51)*'Work Zone Savings'!$O$11</f>
        <v>29949.837373347924</v>
      </c>
      <c r="J45" s="8">
        <f>'Traffic Volumes'!D46/'Traffic Volumes'!B46*'Work Zone Savings'!G45*'Work Zone Savings'!$O$13</f>
        <v>2171.1246105805676</v>
      </c>
      <c r="K45" s="85">
        <f t="shared" si="4"/>
        <v>40495.229945778345</v>
      </c>
      <c r="L45" s="3"/>
      <c r="M45" s="3"/>
      <c r="N45" s="3"/>
      <c r="O45" s="3"/>
    </row>
    <row r="46" spans="1:15" x14ac:dyDescent="0.25">
      <c r="A46" s="18">
        <f t="shared" si="0"/>
        <v>2058</v>
      </c>
      <c r="B46" s="6">
        <f t="shared" si="2"/>
        <v>40</v>
      </c>
      <c r="C46" s="6"/>
      <c r="D46" s="84">
        <f>'Traffic Volumes'!E47*1.16+'Traffic Volumes'!F47*1.51+'Traffic Volumes'!G47</f>
        <v>68396.008049530559</v>
      </c>
      <c r="E46" s="84">
        <f t="shared" si="1"/>
        <v>21202.762495354473</v>
      </c>
      <c r="F46" s="84">
        <f t="shared" si="6"/>
        <v>9.2877516429599893</v>
      </c>
      <c r="G46" s="66">
        <f t="shared" si="5"/>
        <v>1346.5025107796166</v>
      </c>
      <c r="H46" s="8">
        <f>('Traffic Volumes'!E47/'Traffic Volumes'!C47)*('Work Zone Savings'!G46*'Work Zone Savings'!$O$12)*1.16</f>
        <v>8490.0968952086732</v>
      </c>
      <c r="I46" s="8">
        <f>('Traffic Volumes'!F47/'Traffic Volumes'!C47)*('Work Zone Savings'!G46*1.51)*'Work Zone Savings'!$O$11</f>
        <v>30364.089428934018</v>
      </c>
      <c r="J46" s="8">
        <f>'Traffic Volumes'!D47/'Traffic Volumes'!B47*'Work Zone Savings'!G46*'Work Zone Savings'!$O$13</f>
        <v>2201.1545844216548</v>
      </c>
      <c r="K46" s="85">
        <f t="shared" si="4"/>
        <v>41055.340908564343</v>
      </c>
      <c r="L46" s="3"/>
      <c r="M46" s="3"/>
      <c r="N46" s="3"/>
      <c r="O46" s="3"/>
    </row>
    <row r="47" spans="1:15" x14ac:dyDescent="0.25">
      <c r="A47" s="18">
        <f t="shared" si="0"/>
        <v>2059</v>
      </c>
      <c r="B47" s="6">
        <f t="shared" si="2"/>
        <v>41</v>
      </c>
      <c r="C47" s="6"/>
      <c r="D47" s="84">
        <f>'Traffic Volumes'!E48*1.16+'Traffic Volumes'!F48*1.51+'Traffic Volumes'!G48</f>
        <v>68654.494106425933</v>
      </c>
      <c r="E47" s="84">
        <f t="shared" si="1"/>
        <v>21282.893172992037</v>
      </c>
      <c r="F47" s="84">
        <f t="shared" si="6"/>
        <v>9.3806291593895885</v>
      </c>
      <c r="G47" s="66">
        <f t="shared" si="5"/>
        <v>1365.1072020153342</v>
      </c>
      <c r="H47" s="8">
        <f>('Traffic Volumes'!E48/'Traffic Volumes'!C48)*('Work Zone Savings'!G47*'Work Zone Savings'!$O$12)*1.16</f>
        <v>8607.4049804384777</v>
      </c>
      <c r="I47" s="8">
        <f>('Traffic Volumes'!F48/'Traffic Volumes'!C48)*('Work Zone Savings'!G47*1.51)*'Work Zone Savings'!$O$11</f>
        <v>30783.631541894465</v>
      </c>
      <c r="J47" s="8">
        <f>'Traffic Volumes'!D48/'Traffic Volumes'!B48*'Work Zone Savings'!G47*'Work Zone Savings'!$O$13</f>
        <v>2231.5680452785082</v>
      </c>
      <c r="K47" s="85">
        <f t="shared" si="4"/>
        <v>41622.604567611452</v>
      </c>
      <c r="L47" s="3"/>
      <c r="M47" s="3"/>
      <c r="N47" s="3"/>
      <c r="O47" s="3"/>
    </row>
    <row r="48" spans="1:15" x14ac:dyDescent="0.25">
      <c r="A48" s="18">
        <f t="shared" si="0"/>
        <v>2060</v>
      </c>
      <c r="B48" s="6">
        <f t="shared" si="2"/>
        <v>42</v>
      </c>
      <c r="C48" s="6"/>
      <c r="D48" s="84">
        <f>'Traffic Volumes'!E49*1.16+'Traffic Volumes'!F49*1.51+'Traffic Volumes'!G49</f>
        <v>68912.98016332135</v>
      </c>
      <c r="E48" s="84">
        <f t="shared" si="1"/>
        <v>21363.023850629619</v>
      </c>
      <c r="F48" s="84">
        <f t="shared" si="6"/>
        <v>9.4744354509834849</v>
      </c>
      <c r="G48" s="66">
        <f t="shared" si="5"/>
        <v>1383.9493368246906</v>
      </c>
      <c r="H48" s="8">
        <f>('Traffic Volumes'!E49/'Traffic Volumes'!C49)*('Work Zone Savings'!G48*'Work Zone Savings'!$O$12)*1.16</f>
        <v>8726.2102176833723</v>
      </c>
      <c r="I48" s="8">
        <f>('Traffic Volumes'!F49/'Traffic Volumes'!C49)*('Work Zone Savings'!G48*1.51)*'Work Zone Savings'!$O$11</f>
        <v>31208.528088171293</v>
      </c>
      <c r="J48" s="8">
        <f>'Traffic Volumes'!D49/'Traffic Volumes'!B49*'Work Zone Savings'!G48*'Work Zone Savings'!$O$13</f>
        <v>2262.3696598940601</v>
      </c>
      <c r="K48" s="85">
        <f t="shared" si="4"/>
        <v>42197.107965748728</v>
      </c>
      <c r="L48" s="3"/>
      <c r="M48" s="3"/>
      <c r="N48" s="3"/>
      <c r="O48" s="3"/>
    </row>
    <row r="49" spans="1:15" x14ac:dyDescent="0.25">
      <c r="A49" s="18">
        <f t="shared" si="0"/>
        <v>2061</v>
      </c>
      <c r="B49" s="6">
        <f t="shared" si="2"/>
        <v>43</v>
      </c>
      <c r="C49" s="6"/>
      <c r="D49" s="84">
        <f>'Traffic Volumes'!E50*1.16+'Traffic Volumes'!F50*1.51+'Traffic Volumes'!G50</f>
        <v>69171.466220216738</v>
      </c>
      <c r="E49" s="84">
        <f t="shared" si="1"/>
        <v>21443.154528267187</v>
      </c>
      <c r="F49" s="84">
        <f t="shared" si="6"/>
        <v>9.5691798054933201</v>
      </c>
      <c r="G49" s="66">
        <f t="shared" si="5"/>
        <v>1403.0318036100311</v>
      </c>
      <c r="H49" s="8">
        <f>('Traffic Volumes'!E50/'Traffic Volumes'!C50)*('Work Zone Savings'!G49*'Work Zone Savings'!$O$12)*1.16</f>
        <v>8846.5308191751137</v>
      </c>
      <c r="I49" s="8">
        <f>('Traffic Volumes'!F50/'Traffic Volumes'!C50)*('Work Zone Savings'!G49*1.51)*'Work Zone Savings'!$O$11</f>
        <v>31638.844202219429</v>
      </c>
      <c r="J49" s="8">
        <f>'Traffic Volumes'!D50/'Traffic Volumes'!B50*'Work Zone Savings'!G49*'Work Zone Savings'!$O$13</f>
        <v>2293.5641499973935</v>
      </c>
      <c r="K49" s="85">
        <f t="shared" si="4"/>
        <v>42778.939171391939</v>
      </c>
      <c r="L49" s="3"/>
      <c r="M49" s="3"/>
      <c r="N49" s="3"/>
      <c r="O49" s="3"/>
    </row>
    <row r="50" spans="1:15" x14ac:dyDescent="0.25">
      <c r="A50" s="18">
        <f t="shared" si="0"/>
        <v>2062</v>
      </c>
      <c r="B50" s="6">
        <f t="shared" si="2"/>
        <v>44</v>
      </c>
      <c r="C50" s="6"/>
      <c r="D50" s="84">
        <f>'Traffic Volumes'!E51*1.16+'Traffic Volumes'!F51*1.51+'Traffic Volumes'!G51</f>
        <v>69429.952277112141</v>
      </c>
      <c r="E50" s="84">
        <f t="shared" si="1"/>
        <v>21523.285205904765</v>
      </c>
      <c r="F50" s="84">
        <f t="shared" si="6"/>
        <v>9.6648716035482529</v>
      </c>
      <c r="G50" s="66">
        <f t="shared" si="5"/>
        <v>1422.3575247973963</v>
      </c>
      <c r="H50" s="8">
        <f>('Traffic Volumes'!E51/'Traffic Volumes'!C51)*('Work Zone Savings'!G50*'Work Zone Savings'!$O$12)*1.16</f>
        <v>8968.3852116749222</v>
      </c>
      <c r="I50" s="8">
        <f>('Traffic Volumes'!F51/'Traffic Volumes'!C51)*('Work Zone Savings'!G50*1.51)*'Work Zone Savings'!$O$11</f>
        <v>32074.645785739718</v>
      </c>
      <c r="J50" s="8">
        <f>'Traffic Volumes'!D51/'Traffic Volumes'!B51*'Work Zone Savings'!G50*'Work Zone Savings'!$O$13</f>
        <v>2325.1562929367983</v>
      </c>
      <c r="K50" s="85">
        <f t="shared" si="4"/>
        <v>43368.187290351438</v>
      </c>
      <c r="L50" s="3"/>
      <c r="M50" s="3"/>
      <c r="N50" s="3"/>
      <c r="O50" s="3"/>
    </row>
    <row r="51" spans="1:15" x14ac:dyDescent="0.25">
      <c r="A51" s="18">
        <f t="shared" si="0"/>
        <v>2063</v>
      </c>
      <c r="B51" s="6">
        <f t="shared" si="2"/>
        <v>45</v>
      </c>
      <c r="C51" s="6"/>
      <c r="D51" s="84">
        <f>'Traffic Volumes'!E52*1.16+'Traffic Volumes'!F52*1.51+'Traffic Volumes'!G52</f>
        <v>69688.438334007544</v>
      </c>
      <c r="E51" s="84">
        <f t="shared" si="1"/>
        <v>21603.415883542337</v>
      </c>
      <c r="F51" s="84">
        <f t="shared" ref="F51:F61" si="7">F50</f>
        <v>9.6648716035482529</v>
      </c>
      <c r="G51" s="66">
        <f t="shared" si="5"/>
        <v>1427.6529279486606</v>
      </c>
      <c r="H51" s="8">
        <f>('Traffic Volumes'!E52/'Traffic Volumes'!C52)*('Work Zone Savings'!G51*'Work Zone Savings'!$O$12)*1.16</f>
        <v>9001.7742959829757</v>
      </c>
      <c r="I51" s="8">
        <f>('Traffic Volumes'!F52/'Traffic Volumes'!C52)*('Work Zone Savings'!G51*1.51)*'Work Zone Savings'!$O$11</f>
        <v>32194.058927237798</v>
      </c>
      <c r="J51" s="8">
        <f>'Traffic Volumes'!D52/'Traffic Volumes'!B52*'Work Zone Savings'!G51*'Work Zone Savings'!$O$13</f>
        <v>2333.8127943762347</v>
      </c>
      <c r="K51" s="85">
        <f t="shared" si="4"/>
        <v>43529.646017597013</v>
      </c>
      <c r="L51" s="3"/>
      <c r="M51" s="3"/>
      <c r="N51" s="3"/>
      <c r="O51" s="3"/>
    </row>
    <row r="52" spans="1:15" x14ac:dyDescent="0.25">
      <c r="A52" s="18">
        <f t="shared" si="0"/>
        <v>2064</v>
      </c>
      <c r="B52" s="6">
        <f t="shared" si="2"/>
        <v>46</v>
      </c>
      <c r="C52" s="6"/>
      <c r="D52" s="84">
        <f>'Traffic Volumes'!E53*1.16+'Traffic Volumes'!F53*1.51+'Traffic Volumes'!G53</f>
        <v>69946.924390902946</v>
      </c>
      <c r="E52" s="84">
        <f t="shared" si="1"/>
        <v>21683.546561179915</v>
      </c>
      <c r="F52" s="84">
        <f t="shared" si="7"/>
        <v>9.6648716035482529</v>
      </c>
      <c r="G52" s="66">
        <f t="shared" si="5"/>
        <v>1432.9483310999256</v>
      </c>
      <c r="H52" s="8">
        <f>('Traffic Volumes'!E53/'Traffic Volumes'!C53)*('Work Zone Savings'!G52*'Work Zone Savings'!$O$12)*1.16</f>
        <v>9035.1633802910346</v>
      </c>
      <c r="I52" s="8">
        <f>('Traffic Volumes'!F53/'Traffic Volumes'!C53)*('Work Zone Savings'!G52*1.51)*'Work Zone Savings'!$O$11</f>
        <v>32313.4720687359</v>
      </c>
      <c r="J52" s="8">
        <f>'Traffic Volumes'!D53/'Traffic Volumes'!B53*'Work Zone Savings'!G52*'Work Zone Savings'!$O$13</f>
        <v>2342.4692958156716</v>
      </c>
      <c r="K52" s="85">
        <f t="shared" si="4"/>
        <v>43691.104744842611</v>
      </c>
      <c r="L52" s="3"/>
      <c r="M52" s="3"/>
      <c r="N52" s="3"/>
      <c r="O52" s="3"/>
    </row>
    <row r="53" spans="1:15" x14ac:dyDescent="0.25">
      <c r="A53" s="18">
        <f t="shared" si="0"/>
        <v>2065</v>
      </c>
      <c r="B53" s="6">
        <f t="shared" si="2"/>
        <v>47</v>
      </c>
      <c r="C53" s="6"/>
      <c r="D53" s="84">
        <f>'Traffic Volumes'!E54*1.16+'Traffic Volumes'!F54*1.51+'Traffic Volumes'!G54</f>
        <v>70205.410447798335</v>
      </c>
      <c r="E53" s="84">
        <f t="shared" si="1"/>
        <v>21763.677238817483</v>
      </c>
      <c r="F53" s="84">
        <f t="shared" si="7"/>
        <v>9.6648716035482529</v>
      </c>
      <c r="G53" s="66">
        <f t="shared" si="5"/>
        <v>1438.2437342511898</v>
      </c>
      <c r="H53" s="8">
        <f>('Traffic Volumes'!E54/'Traffic Volumes'!C54)*('Work Zone Savings'!G53*'Work Zone Savings'!$O$12)*1.16</f>
        <v>9068.5524645990899</v>
      </c>
      <c r="I53" s="8">
        <f>('Traffic Volumes'!F54/'Traffic Volumes'!C54)*('Work Zone Savings'!G53*1.51)*'Work Zone Savings'!$O$11</f>
        <v>32432.885210233981</v>
      </c>
      <c r="J53" s="8">
        <f>'Traffic Volumes'!D54/'Traffic Volumes'!B54*'Work Zone Savings'!G53*'Work Zone Savings'!$O$13</f>
        <v>2351.125797255108</v>
      </c>
      <c r="K53" s="85">
        <f t="shared" si="4"/>
        <v>43852.563472088179</v>
      </c>
      <c r="L53" s="3"/>
      <c r="M53" s="3"/>
      <c r="N53" s="3"/>
      <c r="O53" s="3"/>
    </row>
    <row r="54" spans="1:15" x14ac:dyDescent="0.25">
      <c r="A54" s="18">
        <f t="shared" si="0"/>
        <v>2066</v>
      </c>
      <c r="B54" s="6">
        <f t="shared" si="2"/>
        <v>48</v>
      </c>
      <c r="C54" s="6"/>
      <c r="D54" s="84">
        <f>'Traffic Volumes'!E55*1.16+'Traffic Volumes'!F55*1.51+'Traffic Volumes'!G55</f>
        <v>70463.896504693752</v>
      </c>
      <c r="E54" s="84">
        <f t="shared" si="1"/>
        <v>21843.807916455065</v>
      </c>
      <c r="F54" s="84">
        <f t="shared" si="7"/>
        <v>9.6648716035482529</v>
      </c>
      <c r="G54" s="66">
        <f t="shared" si="5"/>
        <v>1443.5391374024553</v>
      </c>
      <c r="H54" s="8">
        <f>('Traffic Volumes'!E55/'Traffic Volumes'!C55)*('Work Zone Savings'!G54*'Work Zone Savings'!$O$12)*1.16</f>
        <v>9101.9415489071489</v>
      </c>
      <c r="I54" s="8">
        <f>('Traffic Volumes'!F55/'Traffic Volumes'!C55)*('Work Zone Savings'!G54*1.51)*'Work Zone Savings'!$O$11</f>
        <v>32552.298351732083</v>
      </c>
      <c r="J54" s="8">
        <f>'Traffic Volumes'!D55/'Traffic Volumes'!B55*'Work Zone Savings'!G54*'Work Zone Savings'!$O$13</f>
        <v>2359.7822986945457</v>
      </c>
      <c r="K54" s="85">
        <f t="shared" si="4"/>
        <v>44014.022199333776</v>
      </c>
      <c r="L54" s="3"/>
      <c r="M54" s="3"/>
      <c r="N54" s="3"/>
      <c r="O54" s="3"/>
    </row>
    <row r="55" spans="1:15" x14ac:dyDescent="0.25">
      <c r="A55" s="18">
        <f t="shared" si="0"/>
        <v>2067</v>
      </c>
      <c r="B55" s="6">
        <f t="shared" si="2"/>
        <v>49</v>
      </c>
      <c r="C55" s="6"/>
      <c r="D55" s="84">
        <f>'Traffic Volumes'!E56*1.16+'Traffic Volumes'!F56*1.51+'Traffic Volumes'!G56</f>
        <v>70722.382561589155</v>
      </c>
      <c r="E55" s="84">
        <f t="shared" si="1"/>
        <v>21923.938594092637</v>
      </c>
      <c r="F55" s="84">
        <f t="shared" si="7"/>
        <v>9.6648716035482529</v>
      </c>
      <c r="G55" s="66">
        <f t="shared" si="5"/>
        <v>1448.8345405537202</v>
      </c>
      <c r="H55" s="8">
        <f>('Traffic Volumes'!E56/'Traffic Volumes'!C56)*('Work Zone Savings'!G55*'Work Zone Savings'!$O$12)*1.16</f>
        <v>9135.3306332152097</v>
      </c>
      <c r="I55" s="8">
        <f>('Traffic Volumes'!F56/'Traffic Volumes'!C56)*('Work Zone Savings'!G55*1.51)*'Work Zone Savings'!$O$11</f>
        <v>32671.711493230177</v>
      </c>
      <c r="J55" s="8">
        <f>'Traffic Volumes'!D56/'Traffic Volumes'!B56*'Work Zone Savings'!G55*'Work Zone Savings'!$O$13</f>
        <v>2368.4388001339771</v>
      </c>
      <c r="K55" s="85">
        <f t="shared" si="4"/>
        <v>44175.480926579366</v>
      </c>
      <c r="L55" s="3"/>
      <c r="M55" s="3"/>
      <c r="N55" s="3"/>
      <c r="O55" s="3"/>
    </row>
    <row r="56" spans="1:15" x14ac:dyDescent="0.25">
      <c r="A56" s="18">
        <f t="shared" si="0"/>
        <v>2068</v>
      </c>
      <c r="B56" s="6">
        <f t="shared" si="2"/>
        <v>50</v>
      </c>
      <c r="C56" s="6"/>
      <c r="D56" s="84">
        <f>'Traffic Volumes'!E57*1.16+'Traffic Volumes'!F57*1.51+'Traffic Volumes'!G57</f>
        <v>70980.868618484528</v>
      </c>
      <c r="E56" s="84">
        <f t="shared" si="1"/>
        <v>22004.069271730204</v>
      </c>
      <c r="F56" s="84">
        <f t="shared" si="7"/>
        <v>9.6648716035482529</v>
      </c>
      <c r="G56" s="66">
        <f t="shared" si="5"/>
        <v>1454.129943704984</v>
      </c>
      <c r="H56" s="8">
        <f>('Traffic Volumes'!E57/'Traffic Volumes'!C57)*('Work Zone Savings'!G56*'Work Zone Savings'!$O$12)*1.16</f>
        <v>9168.7197175232595</v>
      </c>
      <c r="I56" s="8">
        <f>('Traffic Volumes'!F57/'Traffic Volumes'!C57)*('Work Zone Savings'!G56*1.51)*'Work Zone Savings'!$O$11</f>
        <v>32791.12463472825</v>
      </c>
      <c r="J56" s="8">
        <f>'Traffic Volumes'!D57/'Traffic Volumes'!B57*'Work Zone Savings'!G56*'Work Zone Savings'!$O$13</f>
        <v>2377.0953015734121</v>
      </c>
      <c r="K56" s="85">
        <f t="shared" si="4"/>
        <v>44336.93965382492</v>
      </c>
      <c r="L56" s="3"/>
      <c r="M56" s="3"/>
      <c r="N56" s="3"/>
      <c r="O56" s="3"/>
    </row>
    <row r="57" spans="1:15" x14ac:dyDescent="0.25">
      <c r="A57" s="18">
        <f>1+A56:A56</f>
        <v>2069</v>
      </c>
      <c r="B57" s="6">
        <f t="shared" si="2"/>
        <v>51</v>
      </c>
      <c r="C57" s="6"/>
      <c r="D57" s="84">
        <f>'Traffic Volumes'!E58*1.16+'Traffic Volumes'!F58*1.51+'Traffic Volumes'!G58</f>
        <v>71239.354675379931</v>
      </c>
      <c r="E57" s="84">
        <f t="shared" si="1"/>
        <v>22084.199949367779</v>
      </c>
      <c r="F57" s="84">
        <f t="shared" si="7"/>
        <v>9.6648716035482529</v>
      </c>
      <c r="G57" s="66">
        <f t="shared" si="5"/>
        <v>1459.425346856249</v>
      </c>
      <c r="H57" s="8">
        <f>('Traffic Volumes'!E58/'Traffic Volumes'!C58)*('Work Zone Savings'!G57*'Work Zone Savings'!$O$12)*1.16</f>
        <v>9202.1088018313185</v>
      </c>
      <c r="I57" s="8">
        <f>('Traffic Volumes'!F58/'Traffic Volumes'!C58)*('Work Zone Savings'!G57*1.51)*'Work Zone Savings'!$O$11</f>
        <v>32910.537776226352</v>
      </c>
      <c r="J57" s="8">
        <f>'Traffic Volumes'!D58/'Traffic Volumes'!B58*'Work Zone Savings'!G57*'Work Zone Savings'!$O$13</f>
        <v>2385.7518030128499</v>
      </c>
      <c r="K57" s="85">
        <f t="shared" si="4"/>
        <v>44498.398381070518</v>
      </c>
      <c r="L57" s="3"/>
      <c r="M57" s="3"/>
      <c r="N57" s="3"/>
      <c r="O57" s="3"/>
    </row>
    <row r="58" spans="1:15" x14ac:dyDescent="0.25">
      <c r="A58" s="18">
        <f>1+A57:A57</f>
        <v>2070</v>
      </c>
      <c r="B58" s="6">
        <f t="shared" si="2"/>
        <v>52</v>
      </c>
      <c r="C58" s="6"/>
      <c r="D58" s="84">
        <f>'Traffic Volumes'!E59*1.16+'Traffic Volumes'!F59*1.51+'Traffic Volumes'!G59</f>
        <v>71497.840732275334</v>
      </c>
      <c r="E58" s="84">
        <f t="shared" si="1"/>
        <v>22164.330627005351</v>
      </c>
      <c r="F58" s="84">
        <f t="shared" si="7"/>
        <v>9.6648716035482529</v>
      </c>
      <c r="G58" s="66">
        <f t="shared" si="5"/>
        <v>1464.7207500075133</v>
      </c>
      <c r="H58" s="8">
        <f>('Traffic Volumes'!E59/'Traffic Volumes'!C59)*('Work Zone Savings'!G58*'Work Zone Savings'!$O$12)*1.16</f>
        <v>9235.497886139372</v>
      </c>
      <c r="I58" s="8">
        <f>('Traffic Volumes'!F59/'Traffic Volumes'!C59)*('Work Zone Savings'!G58*1.51)*'Work Zone Savings'!$O$11</f>
        <v>33029.950917724418</v>
      </c>
      <c r="J58" s="8">
        <f>'Traffic Volumes'!D59/'Traffic Volumes'!B59*'Work Zone Savings'!G58*'Work Zone Savings'!$O$13</f>
        <v>2394.4083044522858</v>
      </c>
      <c r="K58" s="85">
        <f t="shared" si="4"/>
        <v>44659.857108316079</v>
      </c>
      <c r="L58" s="3"/>
      <c r="M58" s="3"/>
      <c r="N58" s="3"/>
      <c r="O58" s="3"/>
    </row>
    <row r="59" spans="1:15" x14ac:dyDescent="0.25">
      <c r="A59" s="18">
        <f>1+A58:A58</f>
        <v>2071</v>
      </c>
      <c r="B59" s="6">
        <f t="shared" si="2"/>
        <v>53</v>
      </c>
      <c r="C59" s="6"/>
      <c r="D59" s="84">
        <f>'Traffic Volumes'!E60*1.16+'Traffic Volumes'!F60*1.51+'Traffic Volumes'!G60</f>
        <v>71756.326789170751</v>
      </c>
      <c r="E59" s="84">
        <f t="shared" si="1"/>
        <v>22244.461304642933</v>
      </c>
      <c r="F59" s="84">
        <f t="shared" si="7"/>
        <v>9.6648716035482529</v>
      </c>
      <c r="G59" s="66">
        <f t="shared" si="5"/>
        <v>1470.0161531587787</v>
      </c>
      <c r="H59" s="8">
        <f>('Traffic Volumes'!E60/'Traffic Volumes'!C60)*('Work Zone Savings'!G59*'Work Zone Savings'!$O$12)*1.16</f>
        <v>9268.8869704474328</v>
      </c>
      <c r="I59" s="8">
        <f>('Traffic Volumes'!F60/'Traffic Volumes'!C60)*('Work Zone Savings'!G59*1.51)*'Work Zone Savings'!$O$11</f>
        <v>33149.364059222535</v>
      </c>
      <c r="J59" s="8">
        <f>'Traffic Volumes'!D60/'Traffic Volumes'!B60*'Work Zone Savings'!G59*'Work Zone Savings'!$O$13</f>
        <v>2403.0648058917182</v>
      </c>
      <c r="K59" s="85">
        <f t="shared" si="4"/>
        <v>44821.315835561691</v>
      </c>
      <c r="L59" s="3"/>
      <c r="M59" s="3"/>
      <c r="N59" s="3"/>
      <c r="O59" s="3"/>
    </row>
    <row r="60" spans="1:15" x14ac:dyDescent="0.25">
      <c r="A60" s="18">
        <f>1+A59:A59</f>
        <v>2072</v>
      </c>
      <c r="B60" s="6">
        <f t="shared" si="2"/>
        <v>54</v>
      </c>
      <c r="C60" s="6"/>
      <c r="D60" s="84">
        <f>'Traffic Volumes'!E61*1.16+'Traffic Volumes'!F61*1.51+'Traffic Volumes'!G61</f>
        <v>72014.812846066139</v>
      </c>
      <c r="E60" s="84">
        <f t="shared" si="1"/>
        <v>22324.591982280501</v>
      </c>
      <c r="F60" s="84">
        <f t="shared" si="7"/>
        <v>9.6648716035482529</v>
      </c>
      <c r="G60" s="66">
        <f t="shared" si="5"/>
        <v>1475.3115563100437</v>
      </c>
      <c r="H60" s="8">
        <f>('Traffic Volumes'!E61/'Traffic Volumes'!C61)*('Work Zone Savings'!G60*'Work Zone Savings'!$O$12)*1.16</f>
        <v>9302.2760547554917</v>
      </c>
      <c r="I60" s="8">
        <f>('Traffic Volumes'!F61/'Traffic Volumes'!C61)*('Work Zone Savings'!G60*1.51)*'Work Zone Savings'!$O$11</f>
        <v>33268.777200720629</v>
      </c>
      <c r="J60" s="8">
        <f>'Traffic Volumes'!D61/'Traffic Volumes'!B61*'Work Zone Savings'!G60*'Work Zone Savings'!$O$13</f>
        <v>2411.721307331155</v>
      </c>
      <c r="K60" s="85">
        <f t="shared" si="4"/>
        <v>44982.774562807281</v>
      </c>
      <c r="L60" s="3"/>
      <c r="M60" s="3"/>
      <c r="N60" s="3"/>
      <c r="O60" s="3"/>
    </row>
    <row r="61" spans="1:15" ht="15.75" thickBot="1" x14ac:dyDescent="0.3">
      <c r="A61" s="20">
        <f>1+A60:A60</f>
        <v>2073</v>
      </c>
      <c r="B61" s="23">
        <f t="shared" si="2"/>
        <v>55</v>
      </c>
      <c r="C61" s="23"/>
      <c r="D61" s="86">
        <f>'Traffic Volumes'!E62*1.16+'Traffic Volumes'!F62*1.51+'Traffic Volumes'!G62</f>
        <v>72273.298902961542</v>
      </c>
      <c r="E61" s="84">
        <f t="shared" si="1"/>
        <v>22404.722659918079</v>
      </c>
      <c r="F61" s="84">
        <f t="shared" si="7"/>
        <v>9.6648716035482529</v>
      </c>
      <c r="G61" s="66">
        <f t="shared" si="5"/>
        <v>1480.6069594613086</v>
      </c>
      <c r="H61" s="87">
        <f>('Traffic Volumes'!E62/'Traffic Volumes'!C62)*('Work Zone Savings'!G61*'Work Zone Savings'!$O$12)*1.16</f>
        <v>9335.6651390635507</v>
      </c>
      <c r="I61" s="87">
        <f>('Traffic Volumes'!F62/'Traffic Volumes'!C62)*('Work Zone Savings'!G61*1.51)*'Work Zone Savings'!$O$11</f>
        <v>33388.190342218732</v>
      </c>
      <c r="J61" s="87">
        <f>'Traffic Volumes'!D62/'Traffic Volumes'!B62*'Work Zone Savings'!G61*'Work Zone Savings'!$O$13</f>
        <v>2420.3778087705919</v>
      </c>
      <c r="K61" s="88">
        <f t="shared" si="4"/>
        <v>45144.233290052878</v>
      </c>
      <c r="L61" s="3"/>
      <c r="M61" s="3"/>
      <c r="N61" s="3"/>
      <c r="O61" s="3"/>
    </row>
    <row r="62" spans="1:15" ht="15.75" thickBot="1" x14ac:dyDescent="0.3">
      <c r="D62" s="209" t="s">
        <v>3</v>
      </c>
      <c r="E62" s="209"/>
      <c r="F62" s="209"/>
      <c r="G62" s="210">
        <f>SUM(G7:G61)</f>
        <v>118950.25198256726</v>
      </c>
      <c r="H62" s="118"/>
      <c r="I62" s="118"/>
      <c r="J62" s="118"/>
      <c r="K62" s="68">
        <f>SUM(K7:K61)</f>
        <v>3626835.5292381798</v>
      </c>
      <c r="L62" s="4"/>
      <c r="M62" s="4"/>
      <c r="N62" s="4"/>
      <c r="O62" s="3"/>
    </row>
    <row r="65" spans="1:10" x14ac:dyDescent="0.25">
      <c r="A65" s="89" t="s">
        <v>2</v>
      </c>
    </row>
    <row r="66" spans="1:10" ht="27.75" customHeight="1" x14ac:dyDescent="0.25">
      <c r="A66" s="267" t="s">
        <v>117</v>
      </c>
      <c r="B66" s="268"/>
      <c r="C66" s="268"/>
      <c r="D66" s="268"/>
      <c r="E66" s="268"/>
      <c r="F66" s="268"/>
      <c r="G66" s="268"/>
      <c r="H66" s="268"/>
      <c r="I66" s="268"/>
      <c r="J66" s="268"/>
    </row>
    <row r="67" spans="1:10" x14ac:dyDescent="0.25">
      <c r="A67" s="89" t="s">
        <v>129</v>
      </c>
    </row>
    <row r="68" spans="1:10" x14ac:dyDescent="0.25">
      <c r="A68" s="277" t="s">
        <v>131</v>
      </c>
      <c r="B68" s="268"/>
      <c r="C68" s="268"/>
      <c r="D68" s="268"/>
      <c r="E68" s="268"/>
      <c r="F68" s="268"/>
      <c r="G68" s="268"/>
      <c r="H68" s="268"/>
      <c r="I68" s="268"/>
      <c r="J68" s="268"/>
    </row>
    <row r="71" spans="1:10" ht="44.25" customHeight="1" x14ac:dyDescent="0.25"/>
    <row r="76" spans="1:10" ht="50.25" customHeight="1" x14ac:dyDescent="0.25"/>
  </sheetData>
  <mergeCells count="5">
    <mergeCell ref="M8:O9"/>
    <mergeCell ref="M15:N15"/>
    <mergeCell ref="M19:O21"/>
    <mergeCell ref="A66:J66"/>
    <mergeCell ref="A68:J68"/>
  </mergeCells>
  <pageMargins left="0.24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Benefits-Cost Summary</vt:lpstr>
      <vt:lpstr>Traffic Volumes</vt:lpstr>
      <vt:lpstr>GDP</vt:lpstr>
      <vt:lpstr>Value of Life-Crash cost</vt:lpstr>
      <vt:lpstr>Value of Travel Time</vt:lpstr>
      <vt:lpstr>Rehabilitation Option Cost</vt:lpstr>
      <vt:lpstr>Work Zone Savings</vt:lpstr>
      <vt:lpstr>'Benefits-Cost Summary'!Print_Area</vt:lpstr>
      <vt:lpstr>GDP!Print_Area</vt:lpstr>
      <vt:lpstr>'Rehabilitation Option Cost'!Print_Area</vt:lpstr>
      <vt:lpstr>'Traffic Volumes'!Print_Area</vt:lpstr>
      <vt:lpstr>'Value of Life-Crash cost'!Print_Area</vt:lpstr>
      <vt:lpstr>'Value of Travel Time'!Print_Area</vt:lpstr>
      <vt:lpstr>'Work Zone Savings'!Print_Area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jsantacruce</dc:creator>
  <cp:lastModifiedBy>Lane, Jennifer</cp:lastModifiedBy>
  <cp:lastPrinted>2017-10-12T15:53:07Z</cp:lastPrinted>
  <dcterms:created xsi:type="dcterms:W3CDTF">2016-03-17T13:01:38Z</dcterms:created>
  <dcterms:modified xsi:type="dcterms:W3CDTF">2023-03-31T16:02:19Z</dcterms:modified>
</cp:coreProperties>
</file>